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en Engler\Dropbox\PRMG Admin\ADMINISTRATIVE-moved back from SkyDrive\NIEL\"/>
    </mc:Choice>
  </mc:AlternateContent>
  <xr:revisionPtr revIDLastSave="0" documentId="13_ncr:1_{8AC89EFF-898A-4C72-A446-40E6B0F66B9C}" xr6:coauthVersionLast="40" xr6:coauthVersionMax="40" xr10:uidLastSave="{00000000-0000-0000-0000-000000000000}"/>
  <bookViews>
    <workbookView xWindow="28680" yWindow="-120" windowWidth="29040" windowHeight="15840" xr2:uid="{9A22CE67-9F65-4603-A112-713104FEDEB0}"/>
  </bookViews>
  <sheets>
    <sheet name="Sheet1" sheetId="1" r:id="rId1"/>
    <sheet name="Sheet2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G54" i="1" l="1"/>
  <c r="B89" i="2" l="1"/>
  <c r="B88" i="2"/>
  <c r="B85" i="2"/>
  <c r="B87" i="2" s="1"/>
  <c r="B91" i="2" s="1"/>
  <c r="B84" i="2"/>
  <c r="B83" i="2"/>
  <c r="B77" i="2"/>
  <c r="B76" i="2"/>
  <c r="B73" i="2"/>
  <c r="B75" i="2" s="1"/>
  <c r="B72" i="2"/>
  <c r="B71" i="2"/>
  <c r="B65" i="2"/>
  <c r="B64" i="2"/>
  <c r="B60" i="2"/>
  <c r="B61" i="2" s="1"/>
  <c r="B63" i="2" s="1"/>
  <c r="B67" i="2" s="1"/>
  <c r="B59" i="2"/>
  <c r="B53" i="2"/>
  <c r="B52" i="2"/>
  <c r="B48" i="2"/>
  <c r="B49" i="2" s="1"/>
  <c r="B47" i="2"/>
  <c r="B39" i="2"/>
  <c r="B38" i="2"/>
  <c r="B34" i="2"/>
  <c r="B35" i="2" s="1"/>
  <c r="B33" i="2"/>
  <c r="B32" i="2"/>
  <c r="B27" i="2"/>
  <c r="B26" i="2"/>
  <c r="B23" i="2"/>
  <c r="B13" i="2" s="1"/>
  <c r="B22" i="2"/>
  <c r="B21" i="2"/>
  <c r="B20" i="2"/>
  <c r="B12" i="2"/>
  <c r="B11" i="2"/>
  <c r="B7" i="2"/>
  <c r="B6" i="2"/>
  <c r="B8" i="2" s="1"/>
  <c r="B10" i="2" s="1"/>
  <c r="B14" i="2" s="1"/>
  <c r="B37" i="2" l="1"/>
  <c r="B40" i="2"/>
  <c r="B51" i="2"/>
  <c r="B55" i="2" s="1"/>
  <c r="B54" i="2"/>
  <c r="B28" i="2"/>
  <c r="B78" i="2"/>
  <c r="B79" i="2" s="1"/>
  <c r="B25" i="2"/>
  <c r="B29" i="2" s="1"/>
  <c r="G53" i="1"/>
  <c r="G55" i="1"/>
  <c r="G56" i="1"/>
  <c r="G57" i="1"/>
  <c r="G58" i="1"/>
  <c r="Q50" i="1"/>
  <c r="Q49" i="1"/>
  <c r="Q37" i="1"/>
  <c r="Q23" i="1"/>
  <c r="B41" i="2" l="1"/>
  <c r="Q36" i="1"/>
  <c r="Q22" i="1"/>
  <c r="Q99" i="1"/>
  <c r="Q87" i="1"/>
  <c r="Q75" i="1"/>
  <c r="Q63" i="1"/>
  <c r="Q48" i="1"/>
  <c r="Q51" i="1" s="1"/>
  <c r="G59" i="1"/>
  <c r="L67" i="1"/>
  <c r="L66" i="1"/>
  <c r="L65" i="1"/>
  <c r="L64" i="1"/>
  <c r="L62" i="1"/>
  <c r="L61" i="1"/>
  <c r="L63" i="1"/>
  <c r="Q28" i="1" l="1"/>
  <c r="Q27" i="1"/>
  <c r="Q43" i="1"/>
  <c r="Q42" i="1"/>
  <c r="Q55" i="1"/>
  <c r="Q54" i="1"/>
  <c r="Q69" i="1"/>
  <c r="Q68" i="1"/>
  <c r="Q105" i="1"/>
  <c r="Q104" i="1"/>
  <c r="Q93" i="1"/>
  <c r="Q92" i="1"/>
  <c r="Q81" i="1"/>
  <c r="C55" i="1" l="1"/>
  <c r="Q76" i="1" l="1"/>
  <c r="Q64" i="1"/>
  <c r="Q100" i="1"/>
  <c r="Q101" i="1" s="1"/>
  <c r="Q38" i="1"/>
  <c r="Q39" i="1" s="1"/>
  <c r="Q29" i="1" s="1"/>
  <c r="Q88" i="1"/>
  <c r="Q89" i="1" s="1"/>
  <c r="Q80" i="1"/>
  <c r="K67" i="1" l="1"/>
  <c r="N67" i="1" s="1"/>
  <c r="Q103" i="1"/>
  <c r="Q94" i="1"/>
  <c r="K66" i="1"/>
  <c r="N66" i="1" s="1"/>
  <c r="Q91" i="1"/>
  <c r="Q77" i="1"/>
  <c r="Q44" i="1" l="1"/>
  <c r="K62" i="1"/>
  <c r="N62" i="1" s="1"/>
  <c r="Q41" i="1"/>
  <c r="Q65" i="1"/>
  <c r="Q70" i="1" s="1"/>
  <c r="K63" i="1"/>
  <c r="N63" i="1" s="1"/>
  <c r="K65" i="1"/>
  <c r="N65" i="1" s="1"/>
  <c r="Q79" i="1"/>
  <c r="K64" i="1" l="1"/>
  <c r="N64" i="1" s="1"/>
  <c r="Q67" i="1"/>
  <c r="Q71" i="1" s="1"/>
  <c r="Q53" i="1"/>
  <c r="Q107" i="1"/>
  <c r="C67" i="1" s="1"/>
  <c r="Q95" i="1"/>
  <c r="C66" i="1" s="1"/>
  <c r="Q83" i="1"/>
  <c r="C65" i="1" s="1"/>
  <c r="Q45" i="1"/>
  <c r="Q24" i="1"/>
  <c r="K29" i="1"/>
  <c r="C29" i="1"/>
  <c r="K50" i="1"/>
  <c r="C50" i="1"/>
  <c r="C41" i="1"/>
  <c r="C51" i="1" l="1"/>
  <c r="K61" i="1"/>
  <c r="N61" i="1" s="1"/>
  <c r="Q26" i="1"/>
  <c r="Q30" i="1" s="1"/>
  <c r="C62" i="1"/>
  <c r="C64" i="1"/>
  <c r="C30" i="1"/>
  <c r="F65" i="1" s="1"/>
  <c r="F67" i="1" l="1"/>
  <c r="G66" i="1"/>
  <c r="G65" i="1"/>
  <c r="F66" i="1"/>
  <c r="G67" i="1"/>
  <c r="G64" i="1"/>
  <c r="F64" i="1"/>
  <c r="F62" i="1"/>
  <c r="G62" i="1"/>
  <c r="C61" i="1"/>
  <c r="Q56" i="1"/>
  <c r="Q57" i="1" s="1"/>
  <c r="C63" i="1" s="1"/>
  <c r="G61" i="1" l="1"/>
  <c r="F61" i="1"/>
  <c r="G63" i="1"/>
  <c r="F63" i="1"/>
</calcChain>
</file>

<file path=xl/sharedStrings.xml><?xml version="1.0" encoding="utf-8"?>
<sst xmlns="http://schemas.openxmlformats.org/spreadsheetml/2006/main" count="248" uniqueCount="87">
  <si>
    <t>BORROWER CONTACT INFORMATION</t>
  </si>
  <si>
    <t>BORROWER 1</t>
  </si>
  <si>
    <t>NAME</t>
  </si>
  <si>
    <t>STREET ADDRESS</t>
  </si>
  <si>
    <t>CITY</t>
  </si>
  <si>
    <t>STATE</t>
  </si>
  <si>
    <t>ZIP</t>
  </si>
  <si>
    <t>CELL PHONE #</t>
  </si>
  <si>
    <t>EMAIL ADDRESS</t>
  </si>
  <si>
    <t>BORROWER 2</t>
  </si>
  <si>
    <t>CREDIT INFORMATION</t>
  </si>
  <si>
    <t>EMPLOYMENT INFORMATION</t>
  </si>
  <si>
    <t>COMPANY NAME</t>
  </si>
  <si>
    <t>HOW LONG</t>
  </si>
  <si>
    <t>MONTHLY INCOME</t>
  </si>
  <si>
    <t>BONUSES</t>
  </si>
  <si>
    <t>OTHER INCOME</t>
  </si>
  <si>
    <t>DO YOU KNOW YOUR CREDIT SCORE</t>
  </si>
  <si>
    <t>TOTAL</t>
  </si>
  <si>
    <t>TOTAL COMBINED INCOME</t>
  </si>
  <si>
    <t>TOTAL COMBINED LIABILITES</t>
  </si>
  <si>
    <t>ASSET INFORMATION</t>
  </si>
  <si>
    <t>CHECKING ACCOUNT BALANCE</t>
  </si>
  <si>
    <t>SAVINGS ACCOUONT BALANCE</t>
  </si>
  <si>
    <t>OTHER CASH ASSETS</t>
  </si>
  <si>
    <t>GIFT</t>
  </si>
  <si>
    <t>TOTAL COMBINED ASSETS</t>
  </si>
  <si>
    <t>NEW HOME INFORMATION</t>
  </si>
  <si>
    <t>PRICE OF HOME</t>
  </si>
  <si>
    <t>DOWNPAYMENT</t>
  </si>
  <si>
    <t>ESTIMATED CLOSING COSTS</t>
  </si>
  <si>
    <t>USDA</t>
  </si>
  <si>
    <t>FHA</t>
  </si>
  <si>
    <t>VA</t>
  </si>
  <si>
    <t>90% CONVENTIONAL</t>
  </si>
  <si>
    <t>80% CONVENTIONAL</t>
  </si>
  <si>
    <t>CONTACT PHONE</t>
  </si>
  <si>
    <t>RETIREMENT ACCOUNT BALANCE</t>
  </si>
  <si>
    <t>home $</t>
  </si>
  <si>
    <t>est taxes</t>
  </si>
  <si>
    <t>upfront fee</t>
  </si>
  <si>
    <t>est insurance</t>
  </si>
  <si>
    <t>est rate</t>
  </si>
  <si>
    <t>total principle</t>
  </si>
  <si>
    <t>monthly fee</t>
  </si>
  <si>
    <t>Total PITI</t>
  </si>
  <si>
    <t>FL Bond</t>
  </si>
  <si>
    <t xml:space="preserve">HOME READY </t>
  </si>
  <si>
    <t>Home Ready</t>
  </si>
  <si>
    <t>Down Payment</t>
  </si>
  <si>
    <t>down payment</t>
  </si>
  <si>
    <t>total loan</t>
  </si>
  <si>
    <t>Estimated DTI</t>
  </si>
  <si>
    <t>Permitted  DTI</t>
  </si>
  <si>
    <t>FL  BOND (FHA)</t>
  </si>
  <si>
    <t>Est closing cost</t>
  </si>
  <si>
    <t>DPA</t>
  </si>
  <si>
    <t>Est Total to close</t>
  </si>
  <si>
    <t xml:space="preserve">FL  BOND </t>
  </si>
  <si>
    <t xml:space="preserve">TOTAL EXIST. MTG/RENT PAYMENT </t>
  </si>
  <si>
    <t>Down Pay</t>
  </si>
  <si>
    <t xml:space="preserve">  </t>
  </si>
  <si>
    <t>Choose Program Down Pay</t>
  </si>
  <si>
    <t>90% CONV</t>
  </si>
  <si>
    <t>80% CONV</t>
  </si>
  <si>
    <t>BASE HOME LOAN AMOUNT</t>
  </si>
  <si>
    <t>THIS IS NOT A PRE-QUALIFICATION, PRE-APPROVAL, APPROVAL OR COMMITMENT TO FUND</t>
  </si>
  <si>
    <t xml:space="preserve">USDA </t>
  </si>
  <si>
    <t xml:space="preserve">This form is intented for Real Estate Profession use only.  This is not for public use. </t>
  </si>
  <si>
    <t>FEASIBILTY FORM</t>
  </si>
  <si>
    <t>Please input the shaded cells.  This information is verbally provided by the buyer/borrower.  All numbers and costs shown are an estimate.</t>
  </si>
  <si>
    <t>Have any lates, collections, judgements, BK</t>
  </si>
  <si>
    <t>USDA (580 Score)</t>
  </si>
  <si>
    <t>FHA (580 score)</t>
  </si>
  <si>
    <t>FL  BOND (FHA) (640 score)</t>
  </si>
  <si>
    <t>HOME READY (620 Score)</t>
  </si>
  <si>
    <t>VA (620 score)</t>
  </si>
  <si>
    <t>90% CONVENTIONAL (620 Score)</t>
  </si>
  <si>
    <t>80% CONVENTIONAL (620 score)</t>
  </si>
  <si>
    <t>MONTHLY  CAR PAYMENTS</t>
  </si>
  <si>
    <t>OTHER MONTHLYL PAYMENTS (LOANS ETC)</t>
  </si>
  <si>
    <t>MONTHLY CREDIT CARD PAYMENTS</t>
  </si>
  <si>
    <t>MONTHLY CAR PAYMENTS</t>
  </si>
  <si>
    <t>MONTHLY OTHER PAYMENTS (LOANS ETC)</t>
  </si>
  <si>
    <t>LOAN TYPES &amp; EST PAYMENTS</t>
  </si>
  <si>
    <t>MO PAYMENT</t>
  </si>
  <si>
    <t>CONSULTANT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</si>
</sst>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0.0"/>
    <numFmt numFmtId="166" formatCode="0.0%"/>
    <numFmt numFmtId="167" formatCode="0.000%"/>
    <numFmt numFmtId="168" formatCode="&quot;$&quot;#,##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2" borderId="0" xfId="0" applyFont="1" applyFill="1"/>
    <xf numFmtId="0" fontId="6" fillId="0" borderId="0" xfId="0" applyFont="1" applyAlignment="1"/>
    <xf numFmtId="166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1" fontId="5" fillId="0" borderId="0" xfId="0" applyNumberFormat="1" applyFont="1" applyAlignment="1"/>
    <xf numFmtId="1" fontId="6" fillId="0" borderId="0" xfId="0" applyNumberFormat="1" applyFont="1" applyAlignme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Protection="1">
      <protection hidden="1"/>
    </xf>
    <xf numFmtId="0" fontId="5" fillId="0" borderId="0" xfId="0" applyFont="1" applyProtection="1">
      <protection hidden="1"/>
    </xf>
    <xf numFmtId="164" fontId="5" fillId="0" borderId="0" xfId="0" applyNumberFormat="1" applyFont="1" applyProtection="1">
      <protection hidden="1"/>
    </xf>
    <xf numFmtId="0" fontId="1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5" fillId="0" borderId="0" xfId="0" applyFont="1" applyProtection="1"/>
    <xf numFmtId="0" fontId="4" fillId="0" borderId="0" xfId="0" applyFont="1" applyProtection="1"/>
    <xf numFmtId="0" fontId="6" fillId="0" borderId="0" xfId="0" applyFont="1" applyProtection="1"/>
    <xf numFmtId="0" fontId="4" fillId="0" borderId="0" xfId="0" applyFont="1" applyProtection="1">
      <protection locked="0"/>
    </xf>
    <xf numFmtId="0" fontId="6" fillId="0" borderId="0" xfId="0" applyFont="1" applyProtection="1">
      <protection locked="0" hidden="1"/>
    </xf>
    <xf numFmtId="0" fontId="5" fillId="0" borderId="0" xfId="0" applyFont="1" applyProtection="1">
      <protection locked="0" hidden="1"/>
    </xf>
    <xf numFmtId="164" fontId="5" fillId="0" borderId="0" xfId="0" applyNumberFormat="1" applyFont="1" applyProtection="1">
      <protection locked="0" hidden="1"/>
    </xf>
    <xf numFmtId="165" fontId="5" fillId="0" borderId="0" xfId="0" applyNumberFormat="1" applyFont="1" applyProtection="1">
      <protection locked="0"/>
    </xf>
    <xf numFmtId="166" fontId="5" fillId="0" borderId="1" xfId="0" applyNumberFormat="1" applyFont="1" applyBorder="1" applyAlignment="1" applyProtection="1">
      <alignment horizontal="right"/>
      <protection locked="0"/>
    </xf>
    <xf numFmtId="166" fontId="5" fillId="0" borderId="0" xfId="0" applyNumberFormat="1" applyFont="1" applyAlignment="1" applyProtection="1">
      <alignment horizontal="left"/>
      <protection locked="0"/>
    </xf>
    <xf numFmtId="4" fontId="6" fillId="0" borderId="0" xfId="0" applyNumberFormat="1" applyFont="1" applyProtection="1">
      <protection hidden="1"/>
    </xf>
    <xf numFmtId="166" fontId="5" fillId="0" borderId="1" xfId="0" applyNumberFormat="1" applyFont="1" applyBorder="1" applyAlignment="1" applyProtection="1">
      <alignment horizontal="right"/>
      <protection hidden="1"/>
    </xf>
    <xf numFmtId="166" fontId="5" fillId="0" borderId="0" xfId="0" applyNumberFormat="1" applyFont="1" applyAlignment="1" applyProtection="1">
      <alignment horizontal="left"/>
      <protection hidden="1"/>
    </xf>
    <xf numFmtId="168" fontId="5" fillId="0" borderId="0" xfId="0" applyNumberFormat="1" applyFont="1" applyAlignment="1" applyProtection="1">
      <alignment horizontal="left"/>
      <protection hidden="1"/>
    </xf>
    <xf numFmtId="168" fontId="5" fillId="0" borderId="0" xfId="0" applyNumberFormat="1" applyFont="1" applyProtection="1">
      <protection hidden="1"/>
    </xf>
    <xf numFmtId="164" fontId="6" fillId="0" borderId="0" xfId="0" applyNumberFormat="1" applyFont="1" applyProtection="1">
      <protection hidden="1"/>
    </xf>
    <xf numFmtId="168" fontId="5" fillId="3" borderId="0" xfId="0" applyNumberFormat="1" applyFont="1" applyFill="1" applyProtection="1">
      <protection hidden="1"/>
    </xf>
    <xf numFmtId="1" fontId="5" fillId="0" borderId="0" xfId="0" applyNumberFormat="1" applyFont="1" applyProtection="1">
      <protection hidden="1"/>
    </xf>
    <xf numFmtId="1" fontId="6" fillId="0" borderId="0" xfId="0" applyNumberFormat="1" applyFont="1" applyAlignment="1" applyProtection="1">
      <protection hidden="1"/>
    </xf>
    <xf numFmtId="1" fontId="5" fillId="0" borderId="0" xfId="0" applyNumberFormat="1" applyFont="1" applyAlignment="1" applyProtection="1">
      <protection hidden="1"/>
    </xf>
    <xf numFmtId="0" fontId="5" fillId="2" borderId="0" xfId="0" applyFont="1" applyFill="1" applyProtection="1">
      <protection locked="0"/>
    </xf>
    <xf numFmtId="1" fontId="5" fillId="2" borderId="0" xfId="0" applyNumberFormat="1" applyFont="1" applyFill="1" applyProtection="1">
      <protection locked="0"/>
    </xf>
    <xf numFmtId="1" fontId="5" fillId="2" borderId="0" xfId="0" applyNumberFormat="1" applyFont="1" applyFill="1" applyAlignment="1" applyProtection="1">
      <protection locked="0"/>
    </xf>
    <xf numFmtId="4" fontId="5" fillId="2" borderId="0" xfId="0" applyNumberFormat="1" applyFont="1" applyFill="1" applyProtection="1">
      <protection locked="0"/>
    </xf>
    <xf numFmtId="167" fontId="5" fillId="2" borderId="0" xfId="0" applyNumberFormat="1" applyFont="1" applyFill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0" fillId="0" borderId="0" xfId="0" applyProtection="1">
      <protection hidden="1"/>
    </xf>
    <xf numFmtId="0" fontId="4" fillId="0" borderId="2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2" xfId="0" applyFont="1" applyBorder="1"/>
    <xf numFmtId="165" fontId="5" fillId="0" borderId="2" xfId="0" applyNumberFormat="1" applyFont="1" applyBorder="1" applyProtection="1">
      <protection locked="0"/>
    </xf>
    <xf numFmtId="168" fontId="5" fillId="3" borderId="2" xfId="0" applyNumberFormat="1" applyFont="1" applyFill="1" applyBorder="1" applyProtection="1">
      <protection hidden="1"/>
    </xf>
    <xf numFmtId="0" fontId="5" fillId="0" borderId="2" xfId="0" applyFont="1" applyBorder="1" applyProtection="1"/>
    <xf numFmtId="0" fontId="6" fillId="0" borderId="2" xfId="0" applyFont="1" applyBorder="1" applyProtection="1">
      <protection locked="0"/>
    </xf>
    <xf numFmtId="1" fontId="6" fillId="0" borderId="2" xfId="0" applyNumberFormat="1" applyFont="1" applyBorder="1" applyProtection="1">
      <protection hidden="1"/>
    </xf>
    <xf numFmtId="0" fontId="6" fillId="0" borderId="2" xfId="0" applyFont="1" applyBorder="1"/>
    <xf numFmtId="0" fontId="0" fillId="0" borderId="0" xfId="0" applyAlignment="1"/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5" fillId="2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E5210-1CD0-4B2D-BD7B-882E72F7C76F}">
  <sheetPr codeName="Sheet1"/>
  <dimension ref="A1:S123"/>
  <sheetViews>
    <sheetView tabSelected="1" topLeftCell="A35" workbookViewId="0">
      <selection activeCell="K37" sqref="K37"/>
    </sheetView>
  </sheetViews>
  <sheetFormatPr defaultRowHeight="14.4" x14ac:dyDescent="0.3"/>
  <cols>
    <col min="1" max="1" width="1.77734375" customWidth="1"/>
    <col min="2" max="2" width="22.77734375" customWidth="1"/>
    <col min="3" max="3" width="8.88671875" customWidth="1"/>
    <col min="4" max="4" width="5.21875" customWidth="1"/>
    <col min="5" max="5" width="9.88671875" customWidth="1"/>
    <col min="6" max="6" width="5.44140625" customWidth="1"/>
    <col min="7" max="7" width="6.21875" customWidth="1"/>
    <col min="8" max="8" width="2.77734375" customWidth="1"/>
    <col min="9" max="9" width="1.77734375" customWidth="1"/>
    <col min="10" max="10" width="22.21875" customWidth="1"/>
    <col min="11" max="11" width="5.6640625" customWidth="1"/>
    <col min="12" max="12" width="5.33203125" customWidth="1"/>
    <col min="13" max="13" width="4.88671875" customWidth="1"/>
    <col min="14" max="14" width="12.21875" customWidth="1"/>
    <col min="15" max="15" width="3.109375" customWidth="1"/>
    <col min="16" max="16" width="12.88671875" hidden="1" customWidth="1"/>
    <col min="17" max="17" width="18.109375" hidden="1" customWidth="1"/>
    <col min="18" max="19" width="9.109375" customWidth="1"/>
  </cols>
  <sheetData>
    <row r="1" spans="1:17" ht="18" x14ac:dyDescent="0.35">
      <c r="A1" s="22" t="s">
        <v>69</v>
      </c>
      <c r="B1" s="23"/>
      <c r="C1" s="2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62"/>
    </row>
    <row r="2" spans="1:17" ht="18" x14ac:dyDescent="0.3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7" ht="18" x14ac:dyDescent="0.35">
      <c r="A3" s="13"/>
      <c r="B3" s="14"/>
    </row>
    <row r="4" spans="1:17" ht="18" x14ac:dyDescent="0.35">
      <c r="A4" s="13" t="s">
        <v>86</v>
      </c>
      <c r="B4" s="14"/>
      <c r="C4" s="64"/>
      <c r="D4" s="65"/>
      <c r="E4" s="65"/>
      <c r="F4" s="65"/>
      <c r="G4" s="65"/>
    </row>
    <row r="5" spans="1:17" ht="18" x14ac:dyDescent="0.35">
      <c r="A5" s="13" t="s">
        <v>36</v>
      </c>
      <c r="B5" s="14"/>
      <c r="C5" s="66"/>
      <c r="D5" s="65"/>
      <c r="E5" s="65"/>
      <c r="F5" s="65"/>
      <c r="G5" s="65"/>
    </row>
    <row r="7" spans="1:17" x14ac:dyDescent="0.3">
      <c r="A7" s="23" t="s">
        <v>70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14"/>
      <c r="M7" s="14"/>
      <c r="N7" s="14"/>
      <c r="O7" s="14"/>
    </row>
    <row r="8" spans="1:17" ht="15.6" x14ac:dyDescent="0.3">
      <c r="A8" s="24" t="s">
        <v>68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15"/>
      <c r="M8" s="15"/>
      <c r="N8" s="15"/>
      <c r="O8" s="15"/>
      <c r="P8" s="1"/>
    </row>
    <row r="9" spans="1:17" ht="15.6" x14ac:dyDescent="0.3">
      <c r="A9" s="24" t="s">
        <v>66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15"/>
      <c r="M9" s="15"/>
      <c r="N9" s="15"/>
      <c r="O9" s="15"/>
      <c r="P9" s="1"/>
    </row>
    <row r="10" spans="1:17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7" x14ac:dyDescent="0.3">
      <c r="A11" s="25" t="s">
        <v>0</v>
      </c>
      <c r="B11" s="2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3"/>
      <c r="Q11" s="3"/>
    </row>
    <row r="12" spans="1:17" x14ac:dyDescent="0.3">
      <c r="A12" s="25" t="s">
        <v>1</v>
      </c>
      <c r="B12" s="26"/>
      <c r="C12" s="17"/>
      <c r="D12" s="17"/>
      <c r="E12" s="17"/>
      <c r="F12" s="17"/>
      <c r="G12" s="17"/>
      <c r="H12" s="17"/>
      <c r="I12" s="28" t="s">
        <v>9</v>
      </c>
      <c r="J12" s="26"/>
      <c r="K12" s="17"/>
      <c r="L12" s="17"/>
      <c r="M12" s="17"/>
      <c r="N12" s="17"/>
      <c r="O12" s="17"/>
      <c r="P12" s="3"/>
      <c r="Q12" s="3"/>
    </row>
    <row r="13" spans="1:17" x14ac:dyDescent="0.3">
      <c r="A13" s="27"/>
      <c r="B13" s="26" t="s">
        <v>2</v>
      </c>
      <c r="C13" s="69"/>
      <c r="D13" s="70"/>
      <c r="E13" s="70"/>
      <c r="F13" s="70"/>
      <c r="G13" s="70"/>
      <c r="H13" s="3"/>
      <c r="I13" s="26"/>
      <c r="J13" s="17" t="s">
        <v>2</v>
      </c>
      <c r="K13" s="69"/>
      <c r="L13" s="70"/>
      <c r="M13" s="70"/>
      <c r="N13" s="70"/>
      <c r="O13" s="51"/>
      <c r="P13" s="3"/>
      <c r="Q13" s="3"/>
    </row>
    <row r="14" spans="1:17" x14ac:dyDescent="0.3">
      <c r="A14" s="27"/>
      <c r="B14" s="26" t="s">
        <v>3</v>
      </c>
      <c r="C14" s="63"/>
      <c r="D14" s="63"/>
      <c r="E14" s="63"/>
      <c r="F14" s="63"/>
      <c r="G14" s="63"/>
      <c r="H14" s="3"/>
      <c r="I14" s="26"/>
      <c r="J14" s="17" t="s">
        <v>3</v>
      </c>
      <c r="K14" s="63"/>
      <c r="L14" s="63"/>
      <c r="M14" s="63"/>
      <c r="N14" s="63"/>
      <c r="O14" s="51"/>
      <c r="P14" s="3"/>
      <c r="Q14" s="3"/>
    </row>
    <row r="15" spans="1:17" x14ac:dyDescent="0.3">
      <c r="A15" s="27"/>
      <c r="B15" s="26" t="s">
        <v>4</v>
      </c>
      <c r="C15" s="63"/>
      <c r="D15" s="63"/>
      <c r="E15" s="63"/>
      <c r="F15" s="63"/>
      <c r="G15" s="63"/>
      <c r="H15" s="3"/>
      <c r="I15" s="26"/>
      <c r="J15" s="17" t="s">
        <v>4</v>
      </c>
      <c r="K15" s="63"/>
      <c r="L15" s="63"/>
      <c r="M15" s="63"/>
      <c r="N15" s="63"/>
      <c r="O15" s="51"/>
      <c r="P15" s="3"/>
      <c r="Q15" s="3"/>
    </row>
    <row r="16" spans="1:17" x14ac:dyDescent="0.3">
      <c r="A16" s="27"/>
      <c r="B16" s="26" t="s">
        <v>5</v>
      </c>
      <c r="C16" s="63"/>
      <c r="D16" s="63"/>
      <c r="E16" s="63"/>
      <c r="F16" s="63"/>
      <c r="G16" s="63"/>
      <c r="H16" s="3"/>
      <c r="I16" s="26"/>
      <c r="J16" s="17" t="s">
        <v>5</v>
      </c>
      <c r="K16" s="63"/>
      <c r="L16" s="63"/>
      <c r="M16" s="63"/>
      <c r="N16" s="63"/>
      <c r="O16" s="51"/>
      <c r="P16" s="3"/>
      <c r="Q16" s="3"/>
    </row>
    <row r="17" spans="1:17" x14ac:dyDescent="0.3">
      <c r="A17" s="27"/>
      <c r="B17" s="26" t="s">
        <v>6</v>
      </c>
      <c r="C17" s="63"/>
      <c r="D17" s="63"/>
      <c r="E17" s="63"/>
      <c r="F17" s="63"/>
      <c r="G17" s="63"/>
      <c r="H17" s="3"/>
      <c r="I17" s="26"/>
      <c r="J17" s="17" t="s">
        <v>6</v>
      </c>
      <c r="K17" s="63"/>
      <c r="L17" s="63"/>
      <c r="M17" s="63"/>
      <c r="N17" s="63"/>
      <c r="O17" s="51"/>
      <c r="P17" s="3"/>
      <c r="Q17" s="3"/>
    </row>
    <row r="18" spans="1:17" x14ac:dyDescent="0.3">
      <c r="A18" s="27"/>
      <c r="B18" s="26" t="s">
        <v>7</v>
      </c>
      <c r="C18" s="63"/>
      <c r="D18" s="63"/>
      <c r="E18" s="63"/>
      <c r="F18" s="63"/>
      <c r="G18" s="63"/>
      <c r="H18" s="3"/>
      <c r="I18" s="26"/>
      <c r="J18" s="17" t="s">
        <v>7</v>
      </c>
      <c r="K18" s="63"/>
      <c r="L18" s="63"/>
      <c r="M18" s="63"/>
      <c r="N18" s="63"/>
      <c r="O18" s="51"/>
      <c r="P18" s="3"/>
      <c r="Q18" s="3"/>
    </row>
    <row r="19" spans="1:17" x14ac:dyDescent="0.3">
      <c r="A19" s="27"/>
      <c r="B19" s="26" t="s">
        <v>8</v>
      </c>
      <c r="C19" s="63"/>
      <c r="D19" s="63"/>
      <c r="E19" s="63"/>
      <c r="F19" s="63"/>
      <c r="G19" s="63"/>
      <c r="H19" s="3"/>
      <c r="I19" s="26"/>
      <c r="J19" s="17" t="s">
        <v>8</v>
      </c>
      <c r="K19" s="63"/>
      <c r="L19" s="63"/>
      <c r="M19" s="63"/>
      <c r="N19" s="63"/>
      <c r="O19" s="51"/>
      <c r="P19" s="3"/>
      <c r="Q19" s="3"/>
    </row>
    <row r="20" spans="1:17" x14ac:dyDescent="0.3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3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0" t="s">
        <v>31</v>
      </c>
      <c r="Q21" s="30"/>
    </row>
    <row r="22" spans="1:17" x14ac:dyDescent="0.3">
      <c r="A22" s="16" t="s">
        <v>11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1" t="s">
        <v>38</v>
      </c>
      <c r="Q22" s="21">
        <f>($C$53)</f>
        <v>200000</v>
      </c>
    </row>
    <row r="23" spans="1:17" x14ac:dyDescent="0.3">
      <c r="A23" s="16" t="s">
        <v>1</v>
      </c>
      <c r="B23" s="17"/>
      <c r="C23" s="3"/>
      <c r="D23" s="3"/>
      <c r="E23" s="3"/>
      <c r="F23" s="3"/>
      <c r="G23" s="3"/>
      <c r="H23" s="3"/>
      <c r="I23" s="28" t="s">
        <v>9</v>
      </c>
      <c r="J23" s="26"/>
      <c r="K23" s="3"/>
      <c r="L23" s="3"/>
      <c r="M23" s="3"/>
      <c r="N23" s="3"/>
      <c r="O23" s="3"/>
      <c r="P23" s="31" t="s">
        <v>40</v>
      </c>
      <c r="Q23" s="21">
        <f>($C$53*0.01)</f>
        <v>2000</v>
      </c>
    </row>
    <row r="24" spans="1:17" x14ac:dyDescent="0.3">
      <c r="A24" s="29"/>
      <c r="B24" s="17" t="s">
        <v>12</v>
      </c>
      <c r="C24" s="69"/>
      <c r="D24" s="70"/>
      <c r="E24" s="70"/>
      <c r="F24" s="70"/>
      <c r="G24" s="70"/>
      <c r="H24" s="3"/>
      <c r="I24" s="26"/>
      <c r="J24" s="26" t="s">
        <v>12</v>
      </c>
      <c r="K24" s="69"/>
      <c r="L24" s="70"/>
      <c r="M24" s="70"/>
      <c r="N24" s="70"/>
      <c r="O24" s="46"/>
      <c r="P24" s="17" t="s">
        <v>51</v>
      </c>
      <c r="Q24" s="21">
        <f>SUM(Q22+Q23)</f>
        <v>202000</v>
      </c>
    </row>
    <row r="25" spans="1:17" x14ac:dyDescent="0.3">
      <c r="A25" s="29"/>
      <c r="B25" s="17" t="s">
        <v>13</v>
      </c>
      <c r="C25" s="46"/>
      <c r="D25" s="46"/>
      <c r="E25" s="46"/>
      <c r="F25" s="46"/>
      <c r="G25" s="46"/>
      <c r="H25" s="3"/>
      <c r="I25" s="26"/>
      <c r="J25" s="26" t="s">
        <v>13</v>
      </c>
      <c r="K25" s="46"/>
      <c r="L25" s="46"/>
      <c r="M25" s="46"/>
      <c r="N25" s="46"/>
      <c r="O25" s="46"/>
      <c r="P25" s="17" t="s">
        <v>42</v>
      </c>
      <c r="Q25" s="50">
        <v>5.5E-2</v>
      </c>
    </row>
    <row r="26" spans="1:17" x14ac:dyDescent="0.3">
      <c r="A26" s="29"/>
      <c r="B26" s="17" t="s">
        <v>14</v>
      </c>
      <c r="C26" s="46">
        <v>4000</v>
      </c>
      <c r="D26" s="46"/>
      <c r="E26" s="46"/>
      <c r="F26" s="46"/>
      <c r="G26" s="46"/>
      <c r="H26" s="3"/>
      <c r="I26" s="26"/>
      <c r="J26" s="26" t="s">
        <v>14</v>
      </c>
      <c r="K26" s="46"/>
      <c r="L26" s="46"/>
      <c r="M26" s="46"/>
      <c r="N26" s="46"/>
      <c r="O26" s="46"/>
      <c r="P26" s="17" t="s">
        <v>43</v>
      </c>
      <c r="Q26" s="21">
        <f>(Q24/10*Q25)</f>
        <v>1111</v>
      </c>
    </row>
    <row r="27" spans="1:17" x14ac:dyDescent="0.3">
      <c r="A27" s="29"/>
      <c r="B27" s="17" t="s">
        <v>15</v>
      </c>
      <c r="C27" s="46">
        <v>0</v>
      </c>
      <c r="D27" s="46"/>
      <c r="E27" s="46"/>
      <c r="F27" s="46"/>
      <c r="G27" s="46"/>
      <c r="H27" s="3"/>
      <c r="I27" s="26"/>
      <c r="J27" s="26" t="s">
        <v>15</v>
      </c>
      <c r="K27" s="46"/>
      <c r="L27" s="46"/>
      <c r="M27" s="46"/>
      <c r="N27" s="46"/>
      <c r="O27" s="46"/>
      <c r="P27" s="17"/>
      <c r="Q27" s="21">
        <f>(($C$53*0.0125/12))</f>
        <v>208.33333333333334</v>
      </c>
    </row>
    <row r="28" spans="1:17" x14ac:dyDescent="0.3">
      <c r="A28" s="29"/>
      <c r="B28" s="17" t="s">
        <v>16</v>
      </c>
      <c r="C28" s="46">
        <v>0</v>
      </c>
      <c r="D28" s="46"/>
      <c r="E28" s="46"/>
      <c r="F28" s="46"/>
      <c r="G28" s="46"/>
      <c r="H28" s="3"/>
      <c r="I28" s="26"/>
      <c r="J28" s="26" t="s">
        <v>16</v>
      </c>
      <c r="K28" s="46"/>
      <c r="L28" s="46"/>
      <c r="M28" s="46"/>
      <c r="N28" s="46"/>
      <c r="O28" s="46"/>
      <c r="P28" s="17" t="s">
        <v>41</v>
      </c>
      <c r="Q28" s="21">
        <f>(($C$53*0.005/12))</f>
        <v>83.333333333333329</v>
      </c>
    </row>
    <row r="29" spans="1:17" x14ac:dyDescent="0.3">
      <c r="A29" s="29"/>
      <c r="B29" s="17" t="s">
        <v>18</v>
      </c>
      <c r="C29" s="19">
        <f>SUM(C24:C28)</f>
        <v>4000</v>
      </c>
      <c r="D29" s="18"/>
      <c r="E29" s="18"/>
      <c r="F29" s="18"/>
      <c r="G29" s="18"/>
      <c r="H29" s="3"/>
      <c r="I29" s="26"/>
      <c r="J29" s="26" t="s">
        <v>18</v>
      </c>
      <c r="K29" s="19">
        <f>SUM(M24:M28)</f>
        <v>0</v>
      </c>
      <c r="L29" s="17"/>
      <c r="M29" s="14"/>
      <c r="N29" s="18"/>
      <c r="O29" s="3"/>
      <c r="P29" s="17" t="s">
        <v>44</v>
      </c>
      <c r="Q29" s="21">
        <f>(Q39*0.0035/12)</f>
        <v>57.3125</v>
      </c>
    </row>
    <row r="30" spans="1:17" x14ac:dyDescent="0.3">
      <c r="A30" s="29"/>
      <c r="B30" s="18" t="s">
        <v>19</v>
      </c>
      <c r="C30" s="19">
        <f>SUM(C29+K29)</f>
        <v>4000</v>
      </c>
      <c r="D30" s="18"/>
      <c r="E30" s="18"/>
      <c r="F30" s="18"/>
      <c r="G30" s="18"/>
      <c r="H30" s="3"/>
      <c r="I30" s="26"/>
      <c r="J30" s="26"/>
      <c r="K30" s="3"/>
      <c r="L30" s="3"/>
      <c r="M30" s="3"/>
      <c r="N30" s="3"/>
      <c r="O30" s="3"/>
      <c r="P30" s="17" t="s">
        <v>45</v>
      </c>
      <c r="Q30" s="21">
        <f>SUM(Q26:Q29)</f>
        <v>1459.9791666666665</v>
      </c>
    </row>
    <row r="31" spans="1:17" x14ac:dyDescent="0.3">
      <c r="A31" s="29"/>
      <c r="B31" s="18"/>
      <c r="C31" s="19"/>
      <c r="D31" s="18"/>
      <c r="E31" s="18"/>
      <c r="F31" s="18"/>
      <c r="G31" s="18"/>
      <c r="H31" s="3"/>
      <c r="I31" s="26"/>
      <c r="J31" s="26"/>
      <c r="K31" s="3"/>
      <c r="L31" s="3"/>
      <c r="M31" s="3"/>
      <c r="N31" s="3"/>
      <c r="O31" s="3"/>
      <c r="P31" s="17"/>
      <c r="Q31" s="21"/>
    </row>
    <row r="32" spans="1:17" x14ac:dyDescent="0.3">
      <c r="A32" s="29"/>
      <c r="B32" s="18"/>
      <c r="C32" s="19"/>
      <c r="D32" s="18"/>
      <c r="E32" s="18"/>
      <c r="F32" s="18"/>
      <c r="G32" s="18"/>
      <c r="H32" s="3"/>
      <c r="I32" s="26"/>
      <c r="J32" s="26"/>
      <c r="K32" s="3"/>
      <c r="L32" s="3"/>
      <c r="M32" s="3"/>
      <c r="N32" s="3"/>
      <c r="O32" s="3"/>
      <c r="P32" s="17"/>
      <c r="Q32" s="21"/>
    </row>
    <row r="33" spans="1:19" x14ac:dyDescent="0.3">
      <c r="A33" s="29"/>
      <c r="B33" s="3"/>
      <c r="C33" s="3"/>
      <c r="D33" s="3"/>
      <c r="E33" s="3"/>
      <c r="F33" s="3"/>
      <c r="G33" s="3"/>
      <c r="H33" s="3"/>
      <c r="I33" s="26"/>
      <c r="J33" s="26"/>
      <c r="K33" s="3"/>
      <c r="L33" s="3"/>
      <c r="M33" s="3"/>
      <c r="N33" s="3"/>
      <c r="O33" s="3"/>
      <c r="P33" s="3"/>
      <c r="Q33" s="21"/>
      <c r="S33" s="52"/>
    </row>
    <row r="34" spans="1:19" x14ac:dyDescent="0.3">
      <c r="A34" s="16" t="s">
        <v>10</v>
      </c>
      <c r="B34" s="17"/>
      <c r="C34" s="3"/>
      <c r="D34" s="3"/>
      <c r="E34" s="3"/>
      <c r="F34" s="3"/>
      <c r="G34" s="3"/>
      <c r="H34" s="3"/>
      <c r="I34" s="26"/>
      <c r="J34" s="26"/>
      <c r="K34" s="3"/>
      <c r="L34" s="3"/>
      <c r="M34" s="3"/>
      <c r="N34" s="3"/>
      <c r="O34" s="3"/>
      <c r="P34" s="3"/>
      <c r="Q34" s="21"/>
    </row>
    <row r="35" spans="1:19" x14ac:dyDescent="0.3">
      <c r="A35" s="29"/>
      <c r="B35" s="17" t="s">
        <v>17</v>
      </c>
      <c r="C35" s="46"/>
      <c r="D35" s="3"/>
      <c r="F35" s="4"/>
      <c r="G35" s="3"/>
      <c r="I35" s="4"/>
      <c r="J35" s="26" t="s">
        <v>17</v>
      </c>
      <c r="K35" s="47"/>
      <c r="L35" s="3"/>
      <c r="N35" s="4"/>
      <c r="O35" s="3"/>
      <c r="P35" s="18" t="s">
        <v>32</v>
      </c>
      <c r="Q35" s="41"/>
    </row>
    <row r="36" spans="1:19" x14ac:dyDescent="0.3">
      <c r="A36" s="29"/>
      <c r="B36" s="17" t="s">
        <v>59</v>
      </c>
      <c r="C36" s="46"/>
      <c r="D36" s="3"/>
      <c r="E36" s="3"/>
      <c r="F36" s="3"/>
      <c r="G36" s="3"/>
      <c r="H36" s="3"/>
      <c r="I36" s="3"/>
      <c r="J36" s="26" t="s">
        <v>59</v>
      </c>
      <c r="K36" s="48"/>
      <c r="L36" s="3"/>
      <c r="M36" s="3"/>
      <c r="N36" s="3"/>
      <c r="O36" s="3"/>
      <c r="P36" s="17" t="s">
        <v>38</v>
      </c>
      <c r="Q36" s="32">
        <f>($C$53)</f>
        <v>200000</v>
      </c>
    </row>
    <row r="37" spans="1:19" x14ac:dyDescent="0.3">
      <c r="A37" s="2"/>
      <c r="B37" s="17" t="s">
        <v>79</v>
      </c>
      <c r="C37" s="46">
        <v>200</v>
      </c>
      <c r="D37" s="3"/>
      <c r="E37" s="3"/>
      <c r="F37" s="3"/>
      <c r="G37" s="3"/>
      <c r="H37" s="3"/>
      <c r="I37" s="3"/>
      <c r="J37" s="26" t="s">
        <v>82</v>
      </c>
      <c r="K37" s="48"/>
      <c r="L37" s="3"/>
      <c r="M37" s="3"/>
      <c r="N37" s="3"/>
      <c r="O37" s="3"/>
      <c r="P37" s="17" t="s">
        <v>40</v>
      </c>
      <c r="Q37" s="32">
        <f>($C$53*0.0175)</f>
        <v>3500.0000000000005</v>
      </c>
    </row>
    <row r="38" spans="1:19" x14ac:dyDescent="0.3">
      <c r="B38" s="17" t="s">
        <v>81</v>
      </c>
      <c r="C38" s="46">
        <v>200</v>
      </c>
      <c r="D38" s="3"/>
      <c r="E38" s="3"/>
      <c r="F38" s="3"/>
      <c r="G38" s="3"/>
      <c r="H38" s="3"/>
      <c r="I38" s="3"/>
      <c r="J38" s="26" t="s">
        <v>81</v>
      </c>
      <c r="K38" s="48"/>
      <c r="L38" s="3"/>
      <c r="M38" s="3"/>
      <c r="N38" s="3"/>
      <c r="O38" s="3"/>
      <c r="P38" s="17" t="s">
        <v>50</v>
      </c>
      <c r="Q38" s="32">
        <f>($C$53*0.035)</f>
        <v>7000.0000000000009</v>
      </c>
    </row>
    <row r="39" spans="1:19" x14ac:dyDescent="0.3">
      <c r="A39" s="29"/>
      <c r="B39" s="17" t="s">
        <v>80</v>
      </c>
      <c r="C39" s="46">
        <v>0</v>
      </c>
      <c r="D39" s="3"/>
      <c r="E39" s="3"/>
      <c r="F39" s="3"/>
      <c r="G39" s="3"/>
      <c r="H39" s="3"/>
      <c r="I39" s="3"/>
      <c r="J39" s="26" t="s">
        <v>83</v>
      </c>
      <c r="K39" s="48"/>
      <c r="L39" s="3"/>
      <c r="M39" s="3"/>
      <c r="N39" s="3"/>
      <c r="O39" s="3"/>
      <c r="P39" s="17" t="s">
        <v>51</v>
      </c>
      <c r="Q39" s="32">
        <f>SUM(Q36+Q37-Q38)</f>
        <v>196500</v>
      </c>
    </row>
    <row r="40" spans="1:19" x14ac:dyDescent="0.3">
      <c r="A40" s="29"/>
      <c r="B40" s="17" t="s">
        <v>18</v>
      </c>
      <c r="C40" s="19">
        <f>SUM(C37:C39)</f>
        <v>400</v>
      </c>
      <c r="D40" s="4"/>
      <c r="E40" s="4"/>
      <c r="F40" s="4"/>
      <c r="G40" s="3"/>
      <c r="I40" s="4"/>
      <c r="J40" s="26" t="s">
        <v>18</v>
      </c>
      <c r="K40" s="45"/>
      <c r="L40" s="3"/>
      <c r="N40" s="4"/>
      <c r="O40" s="3"/>
      <c r="P40" s="17" t="s">
        <v>42</v>
      </c>
      <c r="Q40" s="50">
        <v>5.5E-2</v>
      </c>
    </row>
    <row r="41" spans="1:19" x14ac:dyDescent="0.3">
      <c r="A41" s="29"/>
      <c r="B41" s="18" t="s">
        <v>20</v>
      </c>
      <c r="C41" s="19">
        <f>SUM(C40+CN40)</f>
        <v>400</v>
      </c>
      <c r="D41" s="4"/>
      <c r="E41" s="4"/>
      <c r="F41" s="4"/>
      <c r="G41" s="3"/>
      <c r="H41" s="3"/>
      <c r="I41" s="3"/>
      <c r="J41" s="26"/>
      <c r="K41" s="12"/>
      <c r="L41" s="3"/>
      <c r="M41" s="3"/>
      <c r="N41" s="3"/>
      <c r="O41" s="3"/>
      <c r="P41" s="17" t="s">
        <v>43</v>
      </c>
      <c r="Q41" s="32">
        <f>(Q39/10*Q40)</f>
        <v>1080.75</v>
      </c>
    </row>
    <row r="42" spans="1:19" x14ac:dyDescent="0.3">
      <c r="A42" s="29"/>
      <c r="B42" s="17" t="s">
        <v>71</v>
      </c>
      <c r="C42" s="3"/>
      <c r="D42" s="3"/>
      <c r="E42" s="3"/>
      <c r="F42" s="3"/>
      <c r="G42" s="3"/>
      <c r="H42" s="3"/>
      <c r="I42" s="3"/>
      <c r="J42" s="26" t="s">
        <v>71</v>
      </c>
      <c r="K42" s="11"/>
      <c r="L42" s="3"/>
      <c r="M42" s="3"/>
      <c r="N42" s="3"/>
      <c r="O42" s="3"/>
      <c r="P42" s="17" t="s">
        <v>39</v>
      </c>
      <c r="Q42" s="32">
        <f>(($C$53*0.0125/12))</f>
        <v>208.33333333333334</v>
      </c>
    </row>
    <row r="43" spans="1:19" x14ac:dyDescent="0.3">
      <c r="A43" s="16" t="s">
        <v>21</v>
      </c>
      <c r="B43" s="17"/>
      <c r="C43" s="3"/>
      <c r="D43" s="3"/>
      <c r="E43" s="3"/>
      <c r="F43" s="3"/>
      <c r="G43" s="3"/>
      <c r="H43" s="3"/>
      <c r="I43" s="3"/>
      <c r="J43" s="26"/>
      <c r="K43" s="11"/>
      <c r="L43" s="3"/>
      <c r="M43" s="3"/>
      <c r="N43" s="3"/>
      <c r="O43" s="3"/>
      <c r="P43" s="17" t="s">
        <v>41</v>
      </c>
      <c r="Q43" s="32">
        <f>(($C$53*0.005/12))</f>
        <v>83.333333333333329</v>
      </c>
    </row>
    <row r="44" spans="1:19" x14ac:dyDescent="0.3">
      <c r="A44" s="16" t="s">
        <v>1</v>
      </c>
      <c r="B44" s="17"/>
      <c r="C44" s="3"/>
      <c r="D44" s="3"/>
      <c r="E44" s="3"/>
      <c r="F44" s="3"/>
      <c r="G44" s="3"/>
      <c r="H44" s="3"/>
      <c r="I44" s="3"/>
      <c r="J44" s="26"/>
      <c r="K44" s="11"/>
      <c r="L44" s="3"/>
      <c r="M44" s="3"/>
      <c r="N44" s="3"/>
      <c r="O44" s="3"/>
      <c r="P44" s="17" t="s">
        <v>44</v>
      </c>
      <c r="Q44" s="32">
        <f>(Q39*0.00085/12)</f>
        <v>13.918749999999998</v>
      </c>
    </row>
    <row r="45" spans="1:19" x14ac:dyDescent="0.3">
      <c r="A45" s="29"/>
      <c r="B45" s="17" t="s">
        <v>22</v>
      </c>
      <c r="C45" s="47"/>
      <c r="D45" s="3"/>
      <c r="F45" s="4"/>
      <c r="G45" s="3"/>
      <c r="I45" s="4"/>
      <c r="J45" s="26" t="s">
        <v>22</v>
      </c>
      <c r="K45" s="48"/>
      <c r="L45" s="3"/>
      <c r="N45" s="4"/>
      <c r="O45" s="3"/>
      <c r="P45" s="17" t="s">
        <v>45</v>
      </c>
      <c r="Q45" s="32">
        <f>SUM(Q41:Q44)</f>
        <v>1386.3354166666666</v>
      </c>
    </row>
    <row r="46" spans="1:19" x14ac:dyDescent="0.3">
      <c r="A46" s="29"/>
      <c r="B46" s="17" t="s">
        <v>23</v>
      </c>
      <c r="C46" s="47"/>
      <c r="D46" s="3"/>
      <c r="E46" s="3"/>
      <c r="F46" s="3"/>
      <c r="G46" s="3"/>
      <c r="H46" s="3"/>
      <c r="I46" s="3"/>
      <c r="J46" s="26" t="s">
        <v>23</v>
      </c>
      <c r="K46" s="48"/>
      <c r="L46" s="3"/>
      <c r="M46" s="3"/>
      <c r="N46" s="3"/>
      <c r="O46" s="3"/>
      <c r="P46" s="17"/>
      <c r="Q46" s="21"/>
    </row>
    <row r="47" spans="1:19" x14ac:dyDescent="0.3">
      <c r="B47" s="17" t="s">
        <v>37</v>
      </c>
      <c r="C47" s="47"/>
      <c r="D47" s="3"/>
      <c r="E47" s="3"/>
      <c r="F47" s="3"/>
      <c r="G47" s="3"/>
      <c r="H47" s="3"/>
      <c r="I47" s="3"/>
      <c r="J47" s="26" t="s">
        <v>37</v>
      </c>
      <c r="K47" s="48"/>
      <c r="L47" s="3"/>
      <c r="M47" s="3"/>
      <c r="N47" s="3"/>
      <c r="O47" s="3"/>
      <c r="P47" s="18" t="s">
        <v>46</v>
      </c>
      <c r="Q47" s="21"/>
    </row>
    <row r="48" spans="1:19" x14ac:dyDescent="0.3">
      <c r="B48" s="17" t="s">
        <v>24</v>
      </c>
      <c r="C48" s="47"/>
      <c r="D48" s="3"/>
      <c r="E48" s="3"/>
      <c r="F48" s="3"/>
      <c r="G48" s="3"/>
      <c r="H48" s="3"/>
      <c r="I48" s="3"/>
      <c r="J48" s="26" t="s">
        <v>24</v>
      </c>
      <c r="K48" s="48"/>
      <c r="L48" s="3"/>
      <c r="M48" s="3"/>
      <c r="N48" s="3"/>
      <c r="O48" s="3"/>
      <c r="P48" s="17" t="s">
        <v>38</v>
      </c>
      <c r="Q48" s="32">
        <f>($C$53)</f>
        <v>200000</v>
      </c>
    </row>
    <row r="49" spans="1:17" x14ac:dyDescent="0.3">
      <c r="A49" s="29"/>
      <c r="B49" s="17" t="s">
        <v>25</v>
      </c>
      <c r="C49" s="47"/>
      <c r="D49" s="3"/>
      <c r="E49" s="3"/>
      <c r="F49" s="3"/>
      <c r="G49" s="3"/>
      <c r="H49" s="3"/>
      <c r="I49" s="3"/>
      <c r="J49" s="26" t="s">
        <v>25</v>
      </c>
      <c r="K49" s="48"/>
      <c r="L49" s="3"/>
      <c r="M49" s="3"/>
      <c r="N49" s="3"/>
      <c r="O49" s="3"/>
      <c r="P49" s="17" t="s">
        <v>40</v>
      </c>
      <c r="Q49" s="32">
        <f>($C$53*0.0175)</f>
        <v>3500.0000000000005</v>
      </c>
    </row>
    <row r="50" spans="1:17" x14ac:dyDescent="0.3">
      <c r="A50" s="29"/>
      <c r="B50" s="17" t="s">
        <v>18</v>
      </c>
      <c r="C50" s="43">
        <f>SUM(C45:C49)</f>
        <v>0</v>
      </c>
      <c r="D50" s="3"/>
      <c r="E50" s="3"/>
      <c r="F50" s="3"/>
      <c r="G50" s="3"/>
      <c r="H50" s="3"/>
      <c r="I50" s="26"/>
      <c r="J50" s="26" t="s">
        <v>18</v>
      </c>
      <c r="K50" s="44">
        <f>SUM(M45:M49)</f>
        <v>0</v>
      </c>
      <c r="L50" s="3"/>
      <c r="N50" s="4"/>
      <c r="O50" s="3"/>
      <c r="P50" s="17" t="s">
        <v>50</v>
      </c>
      <c r="Q50" s="32">
        <f>($C$53*0.035)</f>
        <v>7000.0000000000009</v>
      </c>
    </row>
    <row r="51" spans="1:17" ht="15" thickBot="1" x14ac:dyDescent="0.35">
      <c r="A51" s="53"/>
      <c r="B51" s="59" t="s">
        <v>26</v>
      </c>
      <c r="C51" s="60">
        <f>SUM(C50+K50)</f>
        <v>0</v>
      </c>
      <c r="D51" s="61"/>
      <c r="E51" s="61"/>
      <c r="F51" s="61"/>
      <c r="G51" s="61"/>
      <c r="H51" s="55"/>
      <c r="I51" s="58"/>
      <c r="J51" s="58"/>
      <c r="K51" s="55"/>
      <c r="L51" s="55"/>
      <c r="M51" s="55"/>
      <c r="N51" s="55"/>
      <c r="O51" s="55"/>
      <c r="P51" s="17" t="s">
        <v>51</v>
      </c>
      <c r="Q51" s="32">
        <f>SUM(Q48+Q49-Q50)</f>
        <v>196500</v>
      </c>
    </row>
    <row r="52" spans="1:17" x14ac:dyDescent="0.3">
      <c r="A52" s="16" t="s">
        <v>27</v>
      </c>
      <c r="B52" s="17"/>
      <c r="C52" s="3"/>
      <c r="D52" s="3"/>
      <c r="E52" s="18" t="s">
        <v>62</v>
      </c>
      <c r="F52" s="18"/>
      <c r="G52" s="4"/>
      <c r="H52" s="3"/>
      <c r="I52" s="26"/>
      <c r="J52" s="26"/>
      <c r="K52" s="3"/>
      <c r="L52" s="3"/>
      <c r="M52" s="3"/>
      <c r="N52" s="3"/>
      <c r="O52" s="3"/>
      <c r="P52" s="17" t="s">
        <v>42</v>
      </c>
      <c r="Q52" s="50">
        <v>5.5E-2</v>
      </c>
    </row>
    <row r="53" spans="1:17" x14ac:dyDescent="0.3">
      <c r="A53" s="29"/>
      <c r="B53" s="17" t="s">
        <v>28</v>
      </c>
      <c r="C53" s="49">
        <v>200000</v>
      </c>
      <c r="D53" s="5"/>
      <c r="E53" s="17" t="s">
        <v>67</v>
      </c>
      <c r="F53" s="33">
        <v>0</v>
      </c>
      <c r="G53" s="42">
        <f>($C53*F53)</f>
        <v>0</v>
      </c>
      <c r="H53" s="3"/>
      <c r="I53" s="26"/>
      <c r="J53" s="26"/>
      <c r="K53" s="3"/>
      <c r="L53" s="3"/>
      <c r="M53" s="3"/>
      <c r="N53" s="3"/>
      <c r="O53" s="3"/>
      <c r="P53" s="17" t="s">
        <v>43</v>
      </c>
      <c r="Q53" s="32">
        <f>(Q51/10*Q52)</f>
        <v>1080.75</v>
      </c>
    </row>
    <row r="54" spans="1:17" x14ac:dyDescent="0.3">
      <c r="A54" s="29"/>
      <c r="B54" s="17" t="s">
        <v>29</v>
      </c>
      <c r="C54" s="49">
        <v>0</v>
      </c>
      <c r="D54" s="5"/>
      <c r="E54" s="17" t="s">
        <v>32</v>
      </c>
      <c r="F54" s="33">
        <v>3.5</v>
      </c>
      <c r="G54" s="42">
        <f>(($C$53*F54)/100)</f>
        <v>7000</v>
      </c>
      <c r="H54" s="3"/>
      <c r="I54" s="26" t="s">
        <v>61</v>
      </c>
      <c r="J54" s="26"/>
      <c r="K54" s="3"/>
      <c r="L54" s="3"/>
      <c r="M54" s="3"/>
      <c r="N54" s="3"/>
      <c r="O54" s="3"/>
      <c r="P54" s="17" t="s">
        <v>39</v>
      </c>
      <c r="Q54" s="32">
        <f>(($C$53*0.0125/12))</f>
        <v>208.33333333333334</v>
      </c>
    </row>
    <row r="55" spans="1:17" x14ac:dyDescent="0.3">
      <c r="A55" s="29"/>
      <c r="B55" s="17" t="s">
        <v>65</v>
      </c>
      <c r="C55" s="36">
        <f>SUM(C53-C54)</f>
        <v>200000</v>
      </c>
      <c r="D55" s="4"/>
      <c r="E55" s="17" t="s">
        <v>54</v>
      </c>
      <c r="F55" s="33">
        <v>3.5</v>
      </c>
      <c r="G55" s="42">
        <f t="shared" ref="G55:G59" si="0">(($C$53*F55)/100)</f>
        <v>7000</v>
      </c>
      <c r="H55" s="3"/>
      <c r="I55" s="26"/>
      <c r="J55" s="26"/>
      <c r="K55" s="3"/>
      <c r="L55" s="3"/>
      <c r="M55" s="3"/>
      <c r="N55" s="3"/>
      <c r="O55" s="3"/>
      <c r="P55" s="17" t="s">
        <v>41</v>
      </c>
      <c r="Q55" s="32">
        <f>(($C$53*0.005/12))</f>
        <v>83.333333333333329</v>
      </c>
    </row>
    <row r="56" spans="1:17" x14ac:dyDescent="0.3">
      <c r="B56" s="17"/>
      <c r="C56" s="3"/>
      <c r="D56" s="3"/>
      <c r="E56" s="17" t="s">
        <v>47</v>
      </c>
      <c r="F56" s="33">
        <v>3</v>
      </c>
      <c r="G56" s="42">
        <f t="shared" si="0"/>
        <v>6000</v>
      </c>
      <c r="H56" s="3"/>
      <c r="I56" s="26"/>
      <c r="J56" s="26"/>
      <c r="K56" s="3"/>
      <c r="L56" s="3"/>
      <c r="M56" s="3"/>
      <c r="N56" s="3"/>
      <c r="O56" s="3"/>
      <c r="P56" s="17" t="s">
        <v>44</v>
      </c>
      <c r="Q56" s="32">
        <f>(Q51*0.00075/12)</f>
        <v>12.28125</v>
      </c>
    </row>
    <row r="57" spans="1:17" x14ac:dyDescent="0.3">
      <c r="A57" s="29"/>
      <c r="B57" s="17"/>
      <c r="C57" s="3"/>
      <c r="D57" s="3"/>
      <c r="E57" s="17" t="s">
        <v>33</v>
      </c>
      <c r="F57" s="33">
        <v>0</v>
      </c>
      <c r="G57" s="42">
        <f t="shared" si="0"/>
        <v>0</v>
      </c>
      <c r="H57" s="3"/>
      <c r="I57" s="26"/>
      <c r="J57" s="26"/>
      <c r="K57" s="3"/>
      <c r="L57" s="3"/>
      <c r="M57" s="3"/>
      <c r="N57" s="3"/>
      <c r="O57" s="3"/>
      <c r="P57" s="17" t="s">
        <v>45</v>
      </c>
      <c r="Q57" s="32">
        <f>SUM(Q53:Q56)</f>
        <v>1384.6979166666665</v>
      </c>
    </row>
    <row r="58" spans="1:17" x14ac:dyDescent="0.3">
      <c r="A58" s="29"/>
      <c r="B58" s="17"/>
      <c r="C58" s="3"/>
      <c r="D58" s="3"/>
      <c r="E58" s="17" t="s">
        <v>63</v>
      </c>
      <c r="F58" s="33">
        <v>10</v>
      </c>
      <c r="G58" s="42">
        <f t="shared" si="0"/>
        <v>20000</v>
      </c>
      <c r="H58" s="3"/>
      <c r="I58" s="26"/>
      <c r="J58" s="26"/>
      <c r="K58" s="3"/>
      <c r="L58" s="3"/>
      <c r="M58" s="3"/>
      <c r="N58" s="3"/>
      <c r="O58" s="3"/>
      <c r="P58" s="17"/>
      <c r="Q58" s="21"/>
    </row>
    <row r="59" spans="1:17" ht="15" thickBot="1" x14ac:dyDescent="0.35">
      <c r="A59" s="53"/>
      <c r="B59" s="54"/>
      <c r="C59" s="55"/>
      <c r="D59" s="55"/>
      <c r="E59" s="54" t="s">
        <v>64</v>
      </c>
      <c r="F59" s="56">
        <v>20</v>
      </c>
      <c r="G59" s="57">
        <f t="shared" si="0"/>
        <v>40000</v>
      </c>
      <c r="H59" s="55"/>
      <c r="I59" s="58"/>
      <c r="J59" s="58"/>
      <c r="K59" s="55"/>
      <c r="L59" s="55"/>
      <c r="M59" s="55"/>
      <c r="N59" s="55"/>
      <c r="O59" s="55"/>
      <c r="P59" s="17"/>
      <c r="Q59" s="21"/>
    </row>
    <row r="60" spans="1:17" x14ac:dyDescent="0.3">
      <c r="A60" s="16" t="s">
        <v>84</v>
      </c>
      <c r="B60" s="17"/>
      <c r="C60" s="4" t="s">
        <v>85</v>
      </c>
      <c r="D60" s="67" t="s">
        <v>53</v>
      </c>
      <c r="E60" s="68"/>
      <c r="F60" s="6" t="s">
        <v>52</v>
      </c>
      <c r="G60" s="6"/>
      <c r="H60" s="3"/>
      <c r="I60" s="28" t="s">
        <v>30</v>
      </c>
      <c r="J60" s="18"/>
      <c r="K60" s="3" t="s">
        <v>55</v>
      </c>
      <c r="L60" s="4" t="s">
        <v>60</v>
      </c>
      <c r="M60" s="4" t="s">
        <v>56</v>
      </c>
      <c r="N60" s="4" t="s">
        <v>57</v>
      </c>
      <c r="O60" s="3"/>
      <c r="P60" s="17"/>
      <c r="Q60" s="21"/>
    </row>
    <row r="61" spans="1:17" x14ac:dyDescent="0.3">
      <c r="A61" s="29"/>
      <c r="B61" s="17" t="s">
        <v>72</v>
      </c>
      <c r="C61" s="21">
        <f>(Q30)</f>
        <v>1459.9791666666665</v>
      </c>
      <c r="D61" s="34">
        <v>0.28999999999999998</v>
      </c>
      <c r="E61" s="35">
        <v>0.41</v>
      </c>
      <c r="F61" s="37">
        <f>(C61/$C$30)</f>
        <v>0.36499479166666665</v>
      </c>
      <c r="G61" s="38">
        <f>(($C$41+C61)/$C$30)</f>
        <v>0.46499479166666663</v>
      </c>
      <c r="H61" s="3"/>
      <c r="I61" s="26"/>
      <c r="J61" s="17" t="s">
        <v>31</v>
      </c>
      <c r="K61" s="39">
        <f>(Q24*0.033)</f>
        <v>6666</v>
      </c>
      <c r="L61" s="20">
        <f t="shared" ref="L61:L67" si="1">($C$54)</f>
        <v>0</v>
      </c>
      <c r="M61" s="20">
        <v>0</v>
      </c>
      <c r="N61" s="40">
        <f t="shared" ref="N61:N67" si="2">(K61+L61+L61-M61)</f>
        <v>6666</v>
      </c>
      <c r="O61" s="3"/>
      <c r="P61" s="17"/>
      <c r="Q61" s="21"/>
    </row>
    <row r="62" spans="1:17" x14ac:dyDescent="0.3">
      <c r="A62" s="29"/>
      <c r="B62" s="17" t="s">
        <v>73</v>
      </c>
      <c r="C62" s="21">
        <f>(Q71)</f>
        <v>1377.9349999999999</v>
      </c>
      <c r="D62" s="34"/>
      <c r="E62" s="35">
        <v>0.5</v>
      </c>
      <c r="F62" s="37">
        <f t="shared" ref="F62:F67" si="3">(C62/$C$30)</f>
        <v>0.34448374999999998</v>
      </c>
      <c r="G62" s="38">
        <f t="shared" ref="G62:G67" si="4">(($C$41+C62)/$C$30)</f>
        <v>0.44448375000000001</v>
      </c>
      <c r="H62" s="3"/>
      <c r="I62" s="26"/>
      <c r="J62" s="17" t="s">
        <v>32</v>
      </c>
      <c r="K62" s="39">
        <f>(Q39*0.033)</f>
        <v>6484.5</v>
      </c>
      <c r="L62" s="20">
        <f t="shared" si="1"/>
        <v>0</v>
      </c>
      <c r="M62" s="20">
        <v>0</v>
      </c>
      <c r="N62" s="40">
        <f t="shared" si="2"/>
        <v>6484.5</v>
      </c>
      <c r="O62" s="3"/>
      <c r="P62" s="18" t="s">
        <v>48</v>
      </c>
      <c r="Q62" s="21"/>
    </row>
    <row r="63" spans="1:17" x14ac:dyDescent="0.3">
      <c r="A63" s="29"/>
      <c r="B63" s="17" t="s">
        <v>74</v>
      </c>
      <c r="C63" s="21">
        <f>(Q57)</f>
        <v>1384.6979166666665</v>
      </c>
      <c r="D63" s="34"/>
      <c r="E63" s="35">
        <v>0.45</v>
      </c>
      <c r="F63" s="37">
        <f t="shared" si="3"/>
        <v>0.3461744791666666</v>
      </c>
      <c r="G63" s="38">
        <f t="shared" si="4"/>
        <v>0.44617447916666664</v>
      </c>
      <c r="H63" s="3"/>
      <c r="I63" s="26"/>
      <c r="J63" s="17" t="s">
        <v>58</v>
      </c>
      <c r="K63" s="39">
        <f>((Q51*0.046))</f>
        <v>9039</v>
      </c>
      <c r="L63" s="20">
        <f t="shared" si="1"/>
        <v>0</v>
      </c>
      <c r="M63" s="20">
        <v>7500</v>
      </c>
      <c r="N63" s="40">
        <f t="shared" si="2"/>
        <v>1539</v>
      </c>
      <c r="O63" s="3"/>
      <c r="P63" s="17" t="s">
        <v>38</v>
      </c>
      <c r="Q63" s="32">
        <f>($C$53)</f>
        <v>200000</v>
      </c>
    </row>
    <row r="64" spans="1:17" x14ac:dyDescent="0.3">
      <c r="B64" s="17" t="s">
        <v>75</v>
      </c>
      <c r="C64" s="21">
        <f>(Q71)</f>
        <v>1377.9349999999999</v>
      </c>
      <c r="D64" s="34"/>
      <c r="E64" s="35">
        <v>0.5</v>
      </c>
      <c r="F64" s="37">
        <f t="shared" si="3"/>
        <v>0.34448374999999998</v>
      </c>
      <c r="G64" s="38">
        <f t="shared" si="4"/>
        <v>0.44448375000000001</v>
      </c>
      <c r="H64" s="3"/>
      <c r="I64" s="26"/>
      <c r="J64" s="17" t="s">
        <v>47</v>
      </c>
      <c r="K64" s="39">
        <f>(Q65*0.033)</f>
        <v>6369</v>
      </c>
      <c r="L64" s="20">
        <f t="shared" si="1"/>
        <v>0</v>
      </c>
      <c r="M64" s="20">
        <v>0</v>
      </c>
      <c r="N64" s="40">
        <f t="shared" si="2"/>
        <v>6369</v>
      </c>
      <c r="O64" s="3"/>
      <c r="P64" s="17" t="s">
        <v>50</v>
      </c>
      <c r="Q64" s="32">
        <f>($C$53*0.035)</f>
        <v>7000.0000000000009</v>
      </c>
    </row>
    <row r="65" spans="1:17" x14ac:dyDescent="0.3">
      <c r="A65" s="29"/>
      <c r="B65" s="17" t="s">
        <v>76</v>
      </c>
      <c r="C65" s="21">
        <f>(Q83)</f>
        <v>1394.0316666666665</v>
      </c>
      <c r="D65" s="34"/>
      <c r="E65" s="35">
        <v>0.5</v>
      </c>
      <c r="F65" s="37">
        <f t="shared" si="3"/>
        <v>0.34850791666666664</v>
      </c>
      <c r="G65" s="38">
        <f t="shared" si="4"/>
        <v>0.44850791666666662</v>
      </c>
      <c r="H65" s="3"/>
      <c r="I65" s="26"/>
      <c r="J65" s="17" t="s">
        <v>33</v>
      </c>
      <c r="K65" s="39">
        <f>(Q77*0.033)</f>
        <v>6614.1900000000005</v>
      </c>
      <c r="L65" s="20">
        <f t="shared" si="1"/>
        <v>0</v>
      </c>
      <c r="M65" s="20">
        <v>0</v>
      </c>
      <c r="N65" s="40">
        <f t="shared" si="2"/>
        <v>6614.1900000000005</v>
      </c>
      <c r="O65" s="3"/>
      <c r="P65" s="17" t="s">
        <v>51</v>
      </c>
      <c r="Q65" s="32">
        <f>SUM($Q$48-Q64)</f>
        <v>193000</v>
      </c>
    </row>
    <row r="66" spans="1:17" x14ac:dyDescent="0.3">
      <c r="A66" s="29"/>
      <c r="B66" s="17" t="s">
        <v>77</v>
      </c>
      <c r="C66" s="21">
        <f>(Q95)</f>
        <v>1443.6666666666665</v>
      </c>
      <c r="D66" s="34"/>
      <c r="E66" s="35">
        <v>0.5</v>
      </c>
      <c r="F66" s="37">
        <f t="shared" si="3"/>
        <v>0.36091666666666661</v>
      </c>
      <c r="G66" s="38">
        <f t="shared" si="4"/>
        <v>0.46091666666666664</v>
      </c>
      <c r="H66" s="3"/>
      <c r="I66" s="26"/>
      <c r="J66" s="17" t="s">
        <v>34</v>
      </c>
      <c r="K66" s="39">
        <f>(Q89*0.034)</f>
        <v>6120</v>
      </c>
      <c r="L66" s="20">
        <f t="shared" si="1"/>
        <v>0</v>
      </c>
      <c r="M66" s="20">
        <v>0</v>
      </c>
      <c r="N66" s="40">
        <f t="shared" si="2"/>
        <v>6120</v>
      </c>
      <c r="O66" s="3"/>
      <c r="P66" s="17" t="s">
        <v>42</v>
      </c>
      <c r="Q66" s="50">
        <v>5.5E-2</v>
      </c>
    </row>
    <row r="67" spans="1:17" x14ac:dyDescent="0.3">
      <c r="A67" s="29"/>
      <c r="B67" s="17" t="s">
        <v>78</v>
      </c>
      <c r="C67" s="21">
        <f>(Q107)</f>
        <v>1369.6666666666665</v>
      </c>
      <c r="D67" s="34"/>
      <c r="E67" s="35">
        <v>0.5</v>
      </c>
      <c r="F67" s="37">
        <f t="shared" si="3"/>
        <v>0.34241666666666665</v>
      </c>
      <c r="G67" s="38">
        <f t="shared" si="4"/>
        <v>0.44241666666666662</v>
      </c>
      <c r="H67" s="3"/>
      <c r="I67" s="26"/>
      <c r="J67" s="17" t="s">
        <v>35</v>
      </c>
      <c r="K67" s="39">
        <f>(Q101*0.032)</f>
        <v>6272</v>
      </c>
      <c r="L67" s="20">
        <f t="shared" si="1"/>
        <v>0</v>
      </c>
      <c r="M67" s="20">
        <v>0</v>
      </c>
      <c r="N67" s="40">
        <f t="shared" si="2"/>
        <v>6272</v>
      </c>
      <c r="O67" s="3"/>
      <c r="P67" s="17" t="s">
        <v>43</v>
      </c>
      <c r="Q67" s="32">
        <f>(Q65/10*Q66)</f>
        <v>1061.5</v>
      </c>
    </row>
    <row r="68" spans="1:17" x14ac:dyDescent="0.3">
      <c r="P68" s="17" t="s">
        <v>39</v>
      </c>
      <c r="Q68" s="32">
        <f>(($C$53*0.0125/12))</f>
        <v>208.33333333333334</v>
      </c>
    </row>
    <row r="69" spans="1:17" x14ac:dyDescent="0.3">
      <c r="O69" s="3"/>
      <c r="P69" s="17" t="s">
        <v>41</v>
      </c>
      <c r="Q69" s="32">
        <f>(($C$53*0.005/12))</f>
        <v>83.333333333333329</v>
      </c>
    </row>
    <row r="70" spans="1:17" x14ac:dyDescent="0.3">
      <c r="A70" s="29"/>
      <c r="B70" s="17"/>
      <c r="C70" s="3"/>
      <c r="D70" s="8"/>
      <c r="E70" s="9"/>
      <c r="F70" s="8"/>
      <c r="G70" s="7"/>
      <c r="H70" s="3"/>
      <c r="I70" s="26"/>
      <c r="J70" s="26"/>
      <c r="K70" s="3"/>
      <c r="L70" s="3"/>
      <c r="M70" s="3"/>
      <c r="N70" s="3"/>
      <c r="O70" s="3"/>
      <c r="P70" s="17" t="s">
        <v>44</v>
      </c>
      <c r="Q70" s="32">
        <f>(Q65*0.00154/12)</f>
        <v>24.768333333333331</v>
      </c>
    </row>
    <row r="71" spans="1:17" x14ac:dyDescent="0.3">
      <c r="A71" s="29"/>
      <c r="B71" s="17"/>
      <c r="C71" s="3"/>
      <c r="D71" s="8"/>
      <c r="E71" s="9"/>
      <c r="F71" s="8"/>
      <c r="G71" s="10"/>
      <c r="H71" s="3"/>
      <c r="I71" s="3"/>
      <c r="J71" s="3"/>
      <c r="K71" s="3"/>
      <c r="L71" s="3"/>
      <c r="M71" s="3"/>
      <c r="N71" s="3"/>
      <c r="O71" s="3"/>
      <c r="P71" s="17" t="s">
        <v>45</v>
      </c>
      <c r="Q71" s="32">
        <f>SUM(Q67:Q70)</f>
        <v>1377.9349999999999</v>
      </c>
    </row>
    <row r="72" spans="1:17" x14ac:dyDescent="0.3">
      <c r="A72" s="29"/>
      <c r="B72" s="17"/>
      <c r="C72" s="3"/>
      <c r="D72" s="8"/>
      <c r="E72" s="9"/>
      <c r="F72" s="8"/>
      <c r="G72" s="10"/>
      <c r="H72" s="3"/>
      <c r="I72" s="3"/>
      <c r="J72" s="3"/>
      <c r="K72" s="3"/>
      <c r="L72" s="3"/>
      <c r="M72" s="3"/>
      <c r="N72" s="3"/>
      <c r="O72" s="3"/>
      <c r="P72" s="17"/>
      <c r="Q72" s="32"/>
    </row>
    <row r="73" spans="1:17" x14ac:dyDescent="0.3">
      <c r="A73" s="29"/>
      <c r="B73" s="3"/>
      <c r="C73" s="3"/>
      <c r="D73" s="8"/>
      <c r="E73" s="9"/>
      <c r="F73" s="8"/>
      <c r="G73" s="10"/>
      <c r="H73" s="3"/>
      <c r="I73" s="3"/>
      <c r="J73" s="3"/>
      <c r="K73" s="3"/>
      <c r="L73" s="3"/>
      <c r="M73" s="3"/>
      <c r="N73" s="3"/>
      <c r="O73" s="3"/>
      <c r="P73" s="17"/>
      <c r="Q73" s="21"/>
    </row>
    <row r="74" spans="1:17" x14ac:dyDescent="0.3">
      <c r="A74" s="29"/>
      <c r="B74" s="3"/>
      <c r="C74" s="3"/>
      <c r="D74" s="8"/>
      <c r="E74" s="3"/>
      <c r="F74" s="8"/>
      <c r="G74" s="10"/>
      <c r="H74" s="3"/>
      <c r="I74" s="3"/>
      <c r="J74" s="3"/>
      <c r="K74" s="3"/>
      <c r="L74" s="3"/>
      <c r="M74" s="3"/>
      <c r="N74" s="3"/>
      <c r="O74" s="3"/>
      <c r="P74" s="18" t="s">
        <v>33</v>
      </c>
      <c r="Q74" s="21"/>
    </row>
    <row r="75" spans="1:17" x14ac:dyDescent="0.3">
      <c r="A75" s="14"/>
      <c r="B75" s="3"/>
      <c r="C75" s="3"/>
      <c r="D75" s="3"/>
      <c r="E75" s="3"/>
      <c r="F75" s="8"/>
      <c r="G75" s="10"/>
      <c r="H75" s="3"/>
      <c r="I75" s="3"/>
      <c r="J75" s="3"/>
      <c r="K75" s="3"/>
      <c r="L75" s="3"/>
      <c r="M75" s="3"/>
      <c r="N75" s="3"/>
      <c r="O75" s="3"/>
      <c r="P75" s="17" t="s">
        <v>38</v>
      </c>
      <c r="Q75" s="32">
        <f>($C$53)</f>
        <v>200000</v>
      </c>
    </row>
    <row r="76" spans="1:17" x14ac:dyDescent="0.3">
      <c r="A76" s="14"/>
      <c r="B76" s="3"/>
      <c r="C76" s="3"/>
      <c r="D76" s="3"/>
      <c r="E76" s="3"/>
      <c r="F76" s="8"/>
      <c r="G76" s="10"/>
      <c r="H76" s="3"/>
      <c r="I76" s="3"/>
      <c r="J76" s="3"/>
      <c r="K76" s="3"/>
      <c r="L76" s="3"/>
      <c r="M76" s="3"/>
      <c r="N76" s="3"/>
      <c r="O76" s="3"/>
      <c r="P76" s="17" t="s">
        <v>40</v>
      </c>
      <c r="Q76" s="32">
        <f>($C$53*0.00215)</f>
        <v>430</v>
      </c>
    </row>
    <row r="77" spans="1:17" x14ac:dyDescent="0.3">
      <c r="B77" s="3"/>
      <c r="C77" s="3"/>
      <c r="D77" s="3"/>
      <c r="E77" s="3"/>
      <c r="F77" s="8"/>
      <c r="G77" s="10"/>
      <c r="H77" s="3"/>
      <c r="I77" s="3"/>
      <c r="J77" s="3"/>
      <c r="K77" s="3"/>
      <c r="L77" s="3"/>
      <c r="M77" s="3"/>
      <c r="N77" s="3"/>
      <c r="O77" s="3"/>
      <c r="P77" s="17" t="s">
        <v>51</v>
      </c>
      <c r="Q77" s="32">
        <f>SUM(Q75+Q76)</f>
        <v>200430</v>
      </c>
    </row>
    <row r="78" spans="1:17" x14ac:dyDescent="0.3">
      <c r="B78" s="3"/>
      <c r="C78" s="3"/>
      <c r="D78" s="3"/>
      <c r="E78" s="3"/>
      <c r="F78" s="8"/>
      <c r="G78" s="10"/>
      <c r="H78" s="3"/>
      <c r="I78" s="3"/>
      <c r="J78" s="3"/>
      <c r="K78" s="3"/>
      <c r="L78" s="3"/>
      <c r="M78" s="3"/>
      <c r="N78" s="3"/>
      <c r="O78" s="3"/>
      <c r="P78" s="17" t="s">
        <v>42</v>
      </c>
      <c r="Q78" s="50">
        <v>5.5E-2</v>
      </c>
    </row>
    <row r="79" spans="1:17" x14ac:dyDescent="0.3">
      <c r="B79" s="3"/>
      <c r="C79" s="3"/>
      <c r="D79" s="3"/>
      <c r="E79" s="3"/>
      <c r="F79" s="8"/>
      <c r="G79" s="9"/>
      <c r="H79" s="3"/>
      <c r="I79" s="3"/>
      <c r="J79" s="3"/>
      <c r="K79" s="3"/>
      <c r="L79" s="3"/>
      <c r="M79" s="3"/>
      <c r="N79" s="3"/>
      <c r="O79" s="3"/>
      <c r="P79" s="17" t="s">
        <v>43</v>
      </c>
      <c r="Q79" s="32">
        <f>(Q77/10*Q78)</f>
        <v>1102.365</v>
      </c>
    </row>
    <row r="80" spans="1:17" x14ac:dyDescent="0.3">
      <c r="B80" s="3"/>
      <c r="C80" s="3"/>
      <c r="D80" s="3"/>
      <c r="E80" s="3"/>
      <c r="F80" s="8"/>
      <c r="G80" s="3"/>
      <c r="H80" s="3"/>
      <c r="I80" s="3"/>
      <c r="J80" s="3"/>
      <c r="K80" s="3"/>
      <c r="L80" s="3"/>
      <c r="M80" s="3"/>
      <c r="N80" s="3"/>
      <c r="O80" s="3"/>
      <c r="P80" s="17" t="s">
        <v>39</v>
      </c>
      <c r="Q80" s="32">
        <f>(($C$53*0.0125/12))</f>
        <v>208.33333333333334</v>
      </c>
    </row>
    <row r="81" spans="2:17" x14ac:dyDescent="0.3">
      <c r="B81" s="3"/>
      <c r="C81" s="3"/>
      <c r="D81" s="3"/>
      <c r="E81" s="3"/>
      <c r="F81" s="8"/>
      <c r="G81" s="3"/>
      <c r="H81" s="3"/>
      <c r="I81" s="3"/>
      <c r="J81" s="3"/>
      <c r="K81" s="3"/>
      <c r="L81" s="3"/>
      <c r="M81" s="3"/>
      <c r="N81" s="3"/>
      <c r="O81" s="3"/>
      <c r="P81" s="17" t="s">
        <v>41</v>
      </c>
      <c r="Q81" s="32">
        <f>(($C$53*0.005/12))</f>
        <v>83.333333333333329</v>
      </c>
    </row>
    <row r="82" spans="2:17" x14ac:dyDescent="0.3">
      <c r="B82" s="3"/>
      <c r="C82" s="3"/>
      <c r="D82" s="3"/>
      <c r="E82" s="3"/>
      <c r="F82" s="8"/>
      <c r="G82" s="3"/>
      <c r="H82" s="3"/>
      <c r="I82" s="3"/>
      <c r="J82" s="3"/>
      <c r="K82" s="3"/>
      <c r="L82" s="3"/>
      <c r="M82" s="3"/>
      <c r="N82" s="3"/>
      <c r="O82" s="3"/>
      <c r="P82" s="17" t="s">
        <v>44</v>
      </c>
      <c r="Q82" s="32">
        <v>0</v>
      </c>
    </row>
    <row r="83" spans="2:17" x14ac:dyDescent="0.3">
      <c r="B83" s="3"/>
      <c r="C83" s="3"/>
      <c r="D83" s="3"/>
      <c r="E83" s="3"/>
      <c r="F83" s="8"/>
      <c r="G83" s="3"/>
      <c r="H83" s="3"/>
      <c r="I83" s="3"/>
      <c r="J83" s="3"/>
      <c r="K83" s="3"/>
      <c r="L83" s="3"/>
      <c r="M83" s="3"/>
      <c r="N83" s="3"/>
      <c r="O83" s="3"/>
      <c r="P83" s="17" t="s">
        <v>45</v>
      </c>
      <c r="Q83" s="32">
        <f>SUM(Q79:Q82)</f>
        <v>1394.0316666666665</v>
      </c>
    </row>
    <row r="84" spans="2:17" x14ac:dyDescent="0.3">
      <c r="B84" s="3"/>
      <c r="C84" s="3"/>
      <c r="D84" s="3"/>
      <c r="E84" s="3"/>
      <c r="F84" s="8"/>
      <c r="G84" s="3"/>
      <c r="H84" s="3"/>
      <c r="I84" s="3"/>
      <c r="J84" s="3"/>
      <c r="K84" s="3"/>
      <c r="L84" s="3"/>
      <c r="M84" s="3"/>
      <c r="N84" s="3"/>
      <c r="O84" s="3"/>
      <c r="P84" s="17"/>
      <c r="Q84" s="21"/>
    </row>
    <row r="85" spans="2:17" x14ac:dyDescent="0.3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17"/>
      <c r="Q85" s="21"/>
    </row>
    <row r="86" spans="2:17" x14ac:dyDescent="0.3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18" t="s">
        <v>34</v>
      </c>
      <c r="Q86" s="21"/>
    </row>
    <row r="87" spans="2:17" x14ac:dyDescent="0.3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17" t="s">
        <v>38</v>
      </c>
      <c r="Q87" s="32">
        <f>($C$53)</f>
        <v>200000</v>
      </c>
    </row>
    <row r="88" spans="2:17" x14ac:dyDescent="0.3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17" t="s">
        <v>49</v>
      </c>
      <c r="Q88" s="32">
        <f>($C$53*0.1)</f>
        <v>20000</v>
      </c>
    </row>
    <row r="89" spans="2:17" x14ac:dyDescent="0.3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17" t="s">
        <v>51</v>
      </c>
      <c r="Q89" s="32">
        <f>SUM($C$53-Q88)</f>
        <v>180000</v>
      </c>
    </row>
    <row r="90" spans="2:17" x14ac:dyDescent="0.3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17" t="s">
        <v>42</v>
      </c>
      <c r="Q90" s="50">
        <v>5.5E-2</v>
      </c>
    </row>
    <row r="91" spans="2:17" x14ac:dyDescent="0.3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17" t="s">
        <v>43</v>
      </c>
      <c r="Q91" s="32">
        <f>(Q89/10*Q90)</f>
        <v>990</v>
      </c>
    </row>
    <row r="92" spans="2:17" x14ac:dyDescent="0.3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17" t="s">
        <v>39</v>
      </c>
      <c r="Q92" s="32">
        <f>(($C$53*0.0125/12))</f>
        <v>208.33333333333334</v>
      </c>
    </row>
    <row r="93" spans="2:17" x14ac:dyDescent="0.3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17" t="s">
        <v>41</v>
      </c>
      <c r="Q93" s="32">
        <f>(($C$53*0.005/12))</f>
        <v>83.333333333333329</v>
      </c>
    </row>
    <row r="94" spans="2:17" x14ac:dyDescent="0.3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17" t="s">
        <v>44</v>
      </c>
      <c r="Q94" s="32">
        <f>(Q89*0.0009)</f>
        <v>162</v>
      </c>
    </row>
    <row r="95" spans="2:17" x14ac:dyDescent="0.3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17" t="s">
        <v>45</v>
      </c>
      <c r="Q95" s="32">
        <f>SUM(Q91:Q94)</f>
        <v>1443.6666666666665</v>
      </c>
    </row>
    <row r="96" spans="2:17" x14ac:dyDescent="0.3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17"/>
      <c r="Q96" s="21"/>
    </row>
    <row r="97" spans="2:17" x14ac:dyDescent="0.3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17"/>
      <c r="Q97" s="21"/>
    </row>
    <row r="98" spans="2:17" x14ac:dyDescent="0.3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18" t="s">
        <v>35</v>
      </c>
      <c r="Q98" s="21"/>
    </row>
    <row r="99" spans="2:17" x14ac:dyDescent="0.3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17" t="s">
        <v>38</v>
      </c>
      <c r="Q99" s="32">
        <f>($C$53)</f>
        <v>200000</v>
      </c>
    </row>
    <row r="100" spans="2:17" x14ac:dyDescent="0.3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17" t="s">
        <v>50</v>
      </c>
      <c r="Q100" s="32">
        <f>+($C$53*0.02)</f>
        <v>4000</v>
      </c>
    </row>
    <row r="101" spans="2:17" x14ac:dyDescent="0.3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17" t="s">
        <v>51</v>
      </c>
      <c r="Q101" s="32">
        <f>SUM($C$53-Q100)</f>
        <v>196000</v>
      </c>
    </row>
    <row r="102" spans="2:17" x14ac:dyDescent="0.3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17" t="s">
        <v>42</v>
      </c>
      <c r="Q102" s="50">
        <v>5.5E-2</v>
      </c>
    </row>
    <row r="103" spans="2:17" x14ac:dyDescent="0.3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17" t="s">
        <v>43</v>
      </c>
      <c r="Q103" s="32">
        <f>(Q101/10*Q102)</f>
        <v>1078</v>
      </c>
    </row>
    <row r="104" spans="2:17" x14ac:dyDescent="0.3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17" t="s">
        <v>39</v>
      </c>
      <c r="Q104" s="32">
        <f>(($C$53*0.0125/12))</f>
        <v>208.33333333333334</v>
      </c>
    </row>
    <row r="105" spans="2:17" x14ac:dyDescent="0.3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17" t="s">
        <v>41</v>
      </c>
      <c r="Q105" s="32">
        <f>(($C$53*0.005/12))</f>
        <v>83.333333333333329</v>
      </c>
    </row>
    <row r="106" spans="2:17" hidden="1" x14ac:dyDescent="0.3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17" t="s">
        <v>44</v>
      </c>
      <c r="Q106" s="32">
        <v>0</v>
      </c>
    </row>
    <row r="107" spans="2:17" x14ac:dyDescent="0.3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17" t="s">
        <v>45</v>
      </c>
      <c r="Q107" s="32">
        <f>SUM(Q103:Q106)</f>
        <v>1369.6666666666665</v>
      </c>
    </row>
    <row r="108" spans="2:17" x14ac:dyDescent="0.3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20"/>
    </row>
    <row r="109" spans="2:17" x14ac:dyDescent="0.3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17" x14ac:dyDescent="0.3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2:17" x14ac:dyDescent="0.3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 x14ac:dyDescent="0.3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2:17" x14ac:dyDescent="0.3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2:17" x14ac:dyDescent="0.3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2:17" x14ac:dyDescent="0.3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2:17" x14ac:dyDescent="0.3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2:17" x14ac:dyDescent="0.3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2:17" x14ac:dyDescent="0.3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2:17" x14ac:dyDescent="0.3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2:17" x14ac:dyDescent="0.3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2:17" x14ac:dyDescent="0.3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2:17" x14ac:dyDescent="0.3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2:17" x14ac:dyDescent="0.3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</sheetData>
  <sheetProtection password="CADF" sheet="1" selectLockedCells="1"/>
  <mergeCells count="7">
    <mergeCell ref="C4:G4"/>
    <mergeCell ref="C5:G5"/>
    <mergeCell ref="D60:E60"/>
    <mergeCell ref="K13:N13"/>
    <mergeCell ref="C13:G13"/>
    <mergeCell ref="C24:G24"/>
    <mergeCell ref="K24:N2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C0062-820A-4869-8B79-2426AC2BAAB3}">
  <dimension ref="A5:B91"/>
  <sheetViews>
    <sheetView workbookViewId="0">
      <selection activeCell="A5" sqref="A5:B91"/>
    </sheetView>
  </sheetViews>
  <sheetFormatPr defaultRowHeight="14.4" x14ac:dyDescent="0.3"/>
  <sheetData>
    <row r="5" spans="1:2" x14ac:dyDescent="0.3">
      <c r="A5" s="30" t="s">
        <v>31</v>
      </c>
      <c r="B5" s="30"/>
    </row>
    <row r="6" spans="1:2" x14ac:dyDescent="0.3">
      <c r="A6" s="31" t="s">
        <v>38</v>
      </c>
      <c r="B6" s="21">
        <f>($C$53)</f>
        <v>0</v>
      </c>
    </row>
    <row r="7" spans="1:2" x14ac:dyDescent="0.3">
      <c r="A7" s="31" t="s">
        <v>40</v>
      </c>
      <c r="B7" s="21">
        <f>($C$53*0.01)</f>
        <v>0</v>
      </c>
    </row>
    <row r="8" spans="1:2" x14ac:dyDescent="0.3">
      <c r="A8" s="17" t="s">
        <v>51</v>
      </c>
      <c r="B8" s="21">
        <f>SUM(B6+B7)</f>
        <v>0</v>
      </c>
    </row>
    <row r="9" spans="1:2" x14ac:dyDescent="0.3">
      <c r="A9" s="17" t="s">
        <v>42</v>
      </c>
      <c r="B9" s="50">
        <v>5.5E-2</v>
      </c>
    </row>
    <row r="10" spans="1:2" x14ac:dyDescent="0.3">
      <c r="A10" s="17" t="s">
        <v>43</v>
      </c>
      <c r="B10" s="21">
        <f>(B8/10*B9)</f>
        <v>0</v>
      </c>
    </row>
    <row r="11" spans="1:2" x14ac:dyDescent="0.3">
      <c r="A11" s="17"/>
      <c r="B11" s="21">
        <f>(($C$53*0.0125/12))</f>
        <v>0</v>
      </c>
    </row>
    <row r="12" spans="1:2" x14ac:dyDescent="0.3">
      <c r="A12" s="17" t="s">
        <v>41</v>
      </c>
      <c r="B12" s="21">
        <f>(($C$53*0.005/12))</f>
        <v>0</v>
      </c>
    </row>
    <row r="13" spans="1:2" x14ac:dyDescent="0.3">
      <c r="A13" s="17" t="s">
        <v>44</v>
      </c>
      <c r="B13" s="21">
        <f>(B23*0.0035/12)</f>
        <v>0</v>
      </c>
    </row>
    <row r="14" spans="1:2" x14ac:dyDescent="0.3">
      <c r="A14" s="17" t="s">
        <v>45</v>
      </c>
      <c r="B14" s="21">
        <f>SUM(B10:B13)</f>
        <v>0</v>
      </c>
    </row>
    <row r="15" spans="1:2" x14ac:dyDescent="0.3">
      <c r="A15" s="17"/>
      <c r="B15" s="21"/>
    </row>
    <row r="16" spans="1:2" x14ac:dyDescent="0.3">
      <c r="A16" s="17"/>
      <c r="B16" s="21"/>
    </row>
    <row r="17" spans="1:2" x14ac:dyDescent="0.3">
      <c r="A17" s="3"/>
      <c r="B17" s="21"/>
    </row>
    <row r="18" spans="1:2" x14ac:dyDescent="0.3">
      <c r="A18" s="3"/>
      <c r="B18" s="21"/>
    </row>
    <row r="19" spans="1:2" x14ac:dyDescent="0.3">
      <c r="A19" s="18" t="s">
        <v>32</v>
      </c>
      <c r="B19" s="41"/>
    </row>
    <row r="20" spans="1:2" x14ac:dyDescent="0.3">
      <c r="A20" s="17" t="s">
        <v>38</v>
      </c>
      <c r="B20" s="32">
        <f>($C$53)</f>
        <v>0</v>
      </c>
    </row>
    <row r="21" spans="1:2" x14ac:dyDescent="0.3">
      <c r="A21" s="17" t="s">
        <v>40</v>
      </c>
      <c r="B21" s="32">
        <f>($C$53*0.0175)</f>
        <v>0</v>
      </c>
    </row>
    <row r="22" spans="1:2" x14ac:dyDescent="0.3">
      <c r="A22" s="17" t="s">
        <v>50</v>
      </c>
      <c r="B22" s="32">
        <f>($C$53*0.035)</f>
        <v>0</v>
      </c>
    </row>
    <row r="23" spans="1:2" x14ac:dyDescent="0.3">
      <c r="A23" s="17" t="s">
        <v>51</v>
      </c>
      <c r="B23" s="32">
        <f>SUM(B20+B21-B22)</f>
        <v>0</v>
      </c>
    </row>
    <row r="24" spans="1:2" x14ac:dyDescent="0.3">
      <c r="A24" s="17" t="s">
        <v>42</v>
      </c>
      <c r="B24" s="50">
        <v>5.5E-2</v>
      </c>
    </row>
    <row r="25" spans="1:2" x14ac:dyDescent="0.3">
      <c r="A25" s="17" t="s">
        <v>43</v>
      </c>
      <c r="B25" s="32">
        <f>(B23/10*B24)</f>
        <v>0</v>
      </c>
    </row>
    <row r="26" spans="1:2" x14ac:dyDescent="0.3">
      <c r="A26" s="17" t="s">
        <v>39</v>
      </c>
      <c r="B26" s="32">
        <f>(($C$53*0.0125/12))</f>
        <v>0</v>
      </c>
    </row>
    <row r="27" spans="1:2" x14ac:dyDescent="0.3">
      <c r="A27" s="17" t="s">
        <v>41</v>
      </c>
      <c r="B27" s="32">
        <f>(($C$53*0.005/12))</f>
        <v>0</v>
      </c>
    </row>
    <row r="28" spans="1:2" x14ac:dyDescent="0.3">
      <c r="A28" s="17" t="s">
        <v>44</v>
      </c>
      <c r="B28" s="32">
        <f>(B23*0.00085/12)</f>
        <v>0</v>
      </c>
    </row>
    <row r="29" spans="1:2" x14ac:dyDescent="0.3">
      <c r="A29" s="17" t="s">
        <v>45</v>
      </c>
      <c r="B29" s="32">
        <f>SUM(B25:B28)</f>
        <v>0</v>
      </c>
    </row>
    <row r="30" spans="1:2" x14ac:dyDescent="0.3">
      <c r="A30" s="17"/>
      <c r="B30" s="21"/>
    </row>
    <row r="31" spans="1:2" x14ac:dyDescent="0.3">
      <c r="A31" s="18" t="s">
        <v>46</v>
      </c>
      <c r="B31" s="21"/>
    </row>
    <row r="32" spans="1:2" x14ac:dyDescent="0.3">
      <c r="A32" s="17" t="s">
        <v>38</v>
      </c>
      <c r="B32" s="32">
        <f>($C$53)</f>
        <v>0</v>
      </c>
    </row>
    <row r="33" spans="1:2" x14ac:dyDescent="0.3">
      <c r="A33" s="17" t="s">
        <v>40</v>
      </c>
      <c r="B33" s="32">
        <f>($C$53*0.0175)</f>
        <v>0</v>
      </c>
    </row>
    <row r="34" spans="1:2" x14ac:dyDescent="0.3">
      <c r="A34" s="17" t="s">
        <v>50</v>
      </c>
      <c r="B34" s="32">
        <f>($C$53*0.035)</f>
        <v>0</v>
      </c>
    </row>
    <row r="35" spans="1:2" x14ac:dyDescent="0.3">
      <c r="A35" s="17" t="s">
        <v>51</v>
      </c>
      <c r="B35" s="32">
        <f>SUM(B32+B33-B34)</f>
        <v>0</v>
      </c>
    </row>
    <row r="36" spans="1:2" x14ac:dyDescent="0.3">
      <c r="A36" s="17" t="s">
        <v>42</v>
      </c>
      <c r="B36" s="50">
        <v>5.5E-2</v>
      </c>
    </row>
    <row r="37" spans="1:2" x14ac:dyDescent="0.3">
      <c r="A37" s="17" t="s">
        <v>43</v>
      </c>
      <c r="B37" s="32">
        <f>(B35/10*B36)</f>
        <v>0</v>
      </c>
    </row>
    <row r="38" spans="1:2" x14ac:dyDescent="0.3">
      <c r="A38" s="17" t="s">
        <v>39</v>
      </c>
      <c r="B38" s="32">
        <f>(($C$53*0.0125/12))</f>
        <v>0</v>
      </c>
    </row>
    <row r="39" spans="1:2" x14ac:dyDescent="0.3">
      <c r="A39" s="17" t="s">
        <v>41</v>
      </c>
      <c r="B39" s="32">
        <f>(($C$53*0.005/12))</f>
        <v>0</v>
      </c>
    </row>
    <row r="40" spans="1:2" x14ac:dyDescent="0.3">
      <c r="A40" s="17" t="s">
        <v>44</v>
      </c>
      <c r="B40" s="32">
        <f>(B35*0.00075/12)</f>
        <v>0</v>
      </c>
    </row>
    <row r="41" spans="1:2" x14ac:dyDescent="0.3">
      <c r="A41" s="17" t="s">
        <v>45</v>
      </c>
      <c r="B41" s="32">
        <f>SUM(B37:B40)</f>
        <v>0</v>
      </c>
    </row>
    <row r="42" spans="1:2" x14ac:dyDescent="0.3">
      <c r="A42" s="17"/>
      <c r="B42" s="21"/>
    </row>
    <row r="43" spans="1:2" x14ac:dyDescent="0.3">
      <c r="A43" s="17"/>
      <c r="B43" s="21"/>
    </row>
    <row r="44" spans="1:2" x14ac:dyDescent="0.3">
      <c r="A44" s="17"/>
      <c r="B44" s="21"/>
    </row>
    <row r="45" spans="1:2" x14ac:dyDescent="0.3">
      <c r="A45" s="17"/>
      <c r="B45" s="21"/>
    </row>
    <row r="46" spans="1:2" x14ac:dyDescent="0.3">
      <c r="A46" s="18" t="s">
        <v>48</v>
      </c>
      <c r="B46" s="21"/>
    </row>
    <row r="47" spans="1:2" x14ac:dyDescent="0.3">
      <c r="A47" s="17" t="s">
        <v>38</v>
      </c>
      <c r="B47" s="32">
        <f>($C$53)</f>
        <v>0</v>
      </c>
    </row>
    <row r="48" spans="1:2" x14ac:dyDescent="0.3">
      <c r="A48" s="17" t="s">
        <v>50</v>
      </c>
      <c r="B48" s="32">
        <f>($C$53*0.035)</f>
        <v>0</v>
      </c>
    </row>
    <row r="49" spans="1:2" x14ac:dyDescent="0.3">
      <c r="A49" s="17" t="s">
        <v>51</v>
      </c>
      <c r="B49" s="32">
        <f>SUM($Q$48-B48)</f>
        <v>0</v>
      </c>
    </row>
    <row r="50" spans="1:2" x14ac:dyDescent="0.3">
      <c r="A50" s="17" t="s">
        <v>42</v>
      </c>
      <c r="B50" s="50">
        <v>5.5E-2</v>
      </c>
    </row>
    <row r="51" spans="1:2" x14ac:dyDescent="0.3">
      <c r="A51" s="17" t="s">
        <v>43</v>
      </c>
      <c r="B51" s="32">
        <f>(B49/10*B50)</f>
        <v>0</v>
      </c>
    </row>
    <row r="52" spans="1:2" x14ac:dyDescent="0.3">
      <c r="A52" s="17" t="s">
        <v>39</v>
      </c>
      <c r="B52" s="32">
        <f>(($C$53*0.0125/12))</f>
        <v>0</v>
      </c>
    </row>
    <row r="53" spans="1:2" x14ac:dyDescent="0.3">
      <c r="A53" s="17" t="s">
        <v>41</v>
      </c>
      <c r="B53" s="32">
        <f>(($C$53*0.005/12))</f>
        <v>0</v>
      </c>
    </row>
    <row r="54" spans="1:2" x14ac:dyDescent="0.3">
      <c r="A54" s="17" t="s">
        <v>44</v>
      </c>
      <c r="B54" s="32">
        <f>(B49*0.00154/12)</f>
        <v>0</v>
      </c>
    </row>
    <row r="55" spans="1:2" x14ac:dyDescent="0.3">
      <c r="A55" s="17" t="s">
        <v>45</v>
      </c>
      <c r="B55" s="32">
        <f>SUM(B51:B54)</f>
        <v>0</v>
      </c>
    </row>
    <row r="56" spans="1:2" x14ac:dyDescent="0.3">
      <c r="A56" s="17"/>
      <c r="B56" s="32"/>
    </row>
    <row r="57" spans="1:2" x14ac:dyDescent="0.3">
      <c r="A57" s="17"/>
      <c r="B57" s="21"/>
    </row>
    <row r="58" spans="1:2" x14ac:dyDescent="0.3">
      <c r="A58" s="18" t="s">
        <v>33</v>
      </c>
      <c r="B58" s="21"/>
    </row>
    <row r="59" spans="1:2" x14ac:dyDescent="0.3">
      <c r="A59" s="17" t="s">
        <v>38</v>
      </c>
      <c r="B59" s="32">
        <f>($C$53)</f>
        <v>0</v>
      </c>
    </row>
    <row r="60" spans="1:2" x14ac:dyDescent="0.3">
      <c r="A60" s="17" t="s">
        <v>40</v>
      </c>
      <c r="B60" s="32">
        <f>($C$53*0.00215)</f>
        <v>0</v>
      </c>
    </row>
    <row r="61" spans="1:2" x14ac:dyDescent="0.3">
      <c r="A61" s="17" t="s">
        <v>51</v>
      </c>
      <c r="B61" s="32">
        <f>SUM(B59+B60)</f>
        <v>0</v>
      </c>
    </row>
    <row r="62" spans="1:2" x14ac:dyDescent="0.3">
      <c r="A62" s="17" t="s">
        <v>42</v>
      </c>
      <c r="B62" s="50">
        <v>5.5E-2</v>
      </c>
    </row>
    <row r="63" spans="1:2" x14ac:dyDescent="0.3">
      <c r="A63" s="17" t="s">
        <v>43</v>
      </c>
      <c r="B63" s="32">
        <f>(B61/10*B62)</f>
        <v>0</v>
      </c>
    </row>
    <row r="64" spans="1:2" x14ac:dyDescent="0.3">
      <c r="A64" s="17" t="s">
        <v>39</v>
      </c>
      <c r="B64" s="32">
        <f>(($C$53*0.0125/12))</f>
        <v>0</v>
      </c>
    </row>
    <row r="65" spans="1:2" x14ac:dyDescent="0.3">
      <c r="A65" s="17" t="s">
        <v>41</v>
      </c>
      <c r="B65" s="32">
        <f>(($C$53*0.005/12))</f>
        <v>0</v>
      </c>
    </row>
    <row r="66" spans="1:2" x14ac:dyDescent="0.3">
      <c r="A66" s="17" t="s">
        <v>44</v>
      </c>
      <c r="B66" s="32">
        <v>0</v>
      </c>
    </row>
    <row r="67" spans="1:2" x14ac:dyDescent="0.3">
      <c r="A67" s="17" t="s">
        <v>45</v>
      </c>
      <c r="B67" s="32">
        <f>SUM(B63:B66)</f>
        <v>0</v>
      </c>
    </row>
    <row r="68" spans="1:2" x14ac:dyDescent="0.3">
      <c r="A68" s="17"/>
      <c r="B68" s="21"/>
    </row>
    <row r="69" spans="1:2" x14ac:dyDescent="0.3">
      <c r="A69" s="17"/>
      <c r="B69" s="21"/>
    </row>
    <row r="70" spans="1:2" x14ac:dyDescent="0.3">
      <c r="A70" s="18" t="s">
        <v>34</v>
      </c>
      <c r="B70" s="21"/>
    </row>
    <row r="71" spans="1:2" x14ac:dyDescent="0.3">
      <c r="A71" s="17" t="s">
        <v>38</v>
      </c>
      <c r="B71" s="32">
        <f>($C$53)</f>
        <v>0</v>
      </c>
    </row>
    <row r="72" spans="1:2" x14ac:dyDescent="0.3">
      <c r="A72" s="17" t="s">
        <v>49</v>
      </c>
      <c r="B72" s="32">
        <f>($C$53*0.1)</f>
        <v>0</v>
      </c>
    </row>
    <row r="73" spans="1:2" x14ac:dyDescent="0.3">
      <c r="A73" s="17" t="s">
        <v>51</v>
      </c>
      <c r="B73" s="32">
        <f>SUM($C$53-B72)</f>
        <v>0</v>
      </c>
    </row>
    <row r="74" spans="1:2" x14ac:dyDescent="0.3">
      <c r="A74" s="17" t="s">
        <v>42</v>
      </c>
      <c r="B74" s="50">
        <v>5.5E-2</v>
      </c>
    </row>
    <row r="75" spans="1:2" x14ac:dyDescent="0.3">
      <c r="A75" s="17" t="s">
        <v>43</v>
      </c>
      <c r="B75" s="32">
        <f>(B73/10*B74)</f>
        <v>0</v>
      </c>
    </row>
    <row r="76" spans="1:2" x14ac:dyDescent="0.3">
      <c r="A76" s="17" t="s">
        <v>39</v>
      </c>
      <c r="B76" s="32">
        <f>(($C$53*0.0125/12))</f>
        <v>0</v>
      </c>
    </row>
    <row r="77" spans="1:2" x14ac:dyDescent="0.3">
      <c r="A77" s="17" t="s">
        <v>41</v>
      </c>
      <c r="B77" s="32">
        <f>(($C$53*0.005/12))</f>
        <v>0</v>
      </c>
    </row>
    <row r="78" spans="1:2" x14ac:dyDescent="0.3">
      <c r="A78" s="17" t="s">
        <v>44</v>
      </c>
      <c r="B78" s="32">
        <f>(B73*0.0009)</f>
        <v>0</v>
      </c>
    </row>
    <row r="79" spans="1:2" x14ac:dyDescent="0.3">
      <c r="A79" s="17" t="s">
        <v>45</v>
      </c>
      <c r="B79" s="32">
        <f>SUM(B75:B78)</f>
        <v>0</v>
      </c>
    </row>
    <row r="80" spans="1:2" x14ac:dyDescent="0.3">
      <c r="A80" s="17"/>
      <c r="B80" s="21"/>
    </row>
    <row r="81" spans="1:2" x14ac:dyDescent="0.3">
      <c r="A81" s="17"/>
      <c r="B81" s="21"/>
    </row>
    <row r="82" spans="1:2" x14ac:dyDescent="0.3">
      <c r="A82" s="18" t="s">
        <v>35</v>
      </c>
      <c r="B82" s="21"/>
    </row>
    <row r="83" spans="1:2" x14ac:dyDescent="0.3">
      <c r="A83" s="17" t="s">
        <v>38</v>
      </c>
      <c r="B83" s="32">
        <f>($C$53)</f>
        <v>0</v>
      </c>
    </row>
    <row r="84" spans="1:2" x14ac:dyDescent="0.3">
      <c r="A84" s="17" t="s">
        <v>50</v>
      </c>
      <c r="B84" s="32">
        <f>+($C$53*0.02)</f>
        <v>0</v>
      </c>
    </row>
    <row r="85" spans="1:2" x14ac:dyDescent="0.3">
      <c r="A85" s="17" t="s">
        <v>51</v>
      </c>
      <c r="B85" s="32">
        <f>SUM($C$53-B84)</f>
        <v>0</v>
      </c>
    </row>
    <row r="86" spans="1:2" x14ac:dyDescent="0.3">
      <c r="A86" s="17" t="s">
        <v>42</v>
      </c>
      <c r="B86" s="50">
        <v>5.5E-2</v>
      </c>
    </row>
    <row r="87" spans="1:2" x14ac:dyDescent="0.3">
      <c r="A87" s="17" t="s">
        <v>43</v>
      </c>
      <c r="B87" s="32">
        <f>(B85/10*B86)</f>
        <v>0</v>
      </c>
    </row>
    <row r="88" spans="1:2" x14ac:dyDescent="0.3">
      <c r="A88" s="17" t="s">
        <v>39</v>
      </c>
      <c r="B88" s="32">
        <f>(($C$53*0.0125/12))</f>
        <v>0</v>
      </c>
    </row>
    <row r="89" spans="1:2" x14ac:dyDescent="0.3">
      <c r="A89" s="17" t="s">
        <v>41</v>
      </c>
      <c r="B89" s="32">
        <f>(($C$53*0.005/12))</f>
        <v>0</v>
      </c>
    </row>
    <row r="90" spans="1:2" x14ac:dyDescent="0.3">
      <c r="A90" s="17" t="s">
        <v>44</v>
      </c>
      <c r="B90" s="32">
        <v>0</v>
      </c>
    </row>
    <row r="91" spans="1:2" x14ac:dyDescent="0.3">
      <c r="A91" s="17" t="s">
        <v>45</v>
      </c>
      <c r="B91" s="32">
        <f>SUM(B87:B90)</f>
        <v>0</v>
      </c>
    </row>
  </sheetData>
  <sheetProtection password="CAD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Engler</dc:creator>
  <cp:lastModifiedBy>Ken Engler</cp:lastModifiedBy>
  <cp:lastPrinted>2019-02-22T01:14:20Z</cp:lastPrinted>
  <dcterms:created xsi:type="dcterms:W3CDTF">2019-01-12T13:03:09Z</dcterms:created>
  <dcterms:modified xsi:type="dcterms:W3CDTF">2019-02-22T21:27:29Z</dcterms:modified>
</cp:coreProperties>
</file>